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amband.sharepoint.com/sites/Loftslagsvnnisveitarflg/Shared Documents/Skjöl ritstjórnar/Sniðmát/"/>
    </mc:Choice>
  </mc:AlternateContent>
  <xr:revisionPtr revIDLastSave="25" documentId="8_{6C8F6C78-8F48-4154-9B2C-E92619262095}" xr6:coauthVersionLast="47" xr6:coauthVersionMax="47" xr10:uidLastSave="{F6C58794-B88E-40E4-871C-0550FF4FD396}"/>
  <bookViews>
    <workbookView xWindow="25695" yWindow="0" windowWidth="26010" windowHeight="20985" xr2:uid="{1942D74A-8AD8-40C4-9FA4-C35CA548DC4B}"/>
  </bookViews>
  <sheets>
    <sheet name="Markmiðareiknir (uppfært)" sheetId="10" r:id="rId1"/>
    <sheet name="Eldri útgáfa" sheetId="9" r:id="rId2"/>
  </sheets>
  <definedNames>
    <definedName name="ls_bensin">#REF!</definedName>
    <definedName name="ls_bensinbilar">#REF!</definedName>
    <definedName name="ls_bilaleigubilar">#REF!</definedName>
    <definedName name="ls_disel">#REF!</definedName>
    <definedName name="ls_diselbilar">#REF!</definedName>
    <definedName name="ls_leigubilar">#REF!</definedName>
    <definedName name="ls_lifraenn_urgangur">#REF!</definedName>
    <definedName name="ls_metan">#REF!</definedName>
    <definedName name="ls_metanbilar">#REF!</definedName>
    <definedName name="ls_oflokkadur_urgangur">#REF!</definedName>
    <definedName name="ls_rafmagn">#REF!</definedName>
    <definedName name="ls_rafmagnsbilar">#REF!</definedName>
    <definedName name="ls_visthaefir_leigubilar">#REF!</definedName>
    <definedName name="solver_eng" localSheetId="1" hidden="1">1</definedName>
    <definedName name="solver_eng" localSheetId="0" hidden="1">1</definedName>
    <definedName name="solver_neg" localSheetId="1" hidden="1">1</definedName>
    <definedName name="solver_neg" localSheetId="0" hidden="1">1</definedName>
    <definedName name="solver_num" localSheetId="1" hidden="1">0</definedName>
    <definedName name="solver_num" localSheetId="0" hidden="1">0</definedName>
    <definedName name="solver_opt" localSheetId="1" hidden="1">'Eldri útgáfa'!$F$40</definedName>
    <definedName name="solver_opt" localSheetId="0" hidden="1">'Markmiðareiknir (uppfært)'!$F$40</definedName>
    <definedName name="solver_typ" localSheetId="1" hidden="1">1</definedName>
    <definedName name="solver_typ" localSheetId="0" hidden="1">1</definedName>
    <definedName name="solver_val" localSheetId="1" hidden="1">0</definedName>
    <definedName name="solver_val" localSheetId="0" hidden="1">0</definedName>
    <definedName name="solver_ver" localSheetId="1" hidden="1">3</definedName>
    <definedName name="solver_ver" localSheetId="0"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7" i="10" l="1"/>
  <c r="AB38" i="10" s="1"/>
  <c r="AB34" i="10"/>
  <c r="AB35" i="10" s="1"/>
  <c r="AB31" i="10"/>
  <c r="AB32" i="10" s="1"/>
  <c r="AB16" i="10" s="1"/>
  <c r="AB28" i="10"/>
  <c r="AB25" i="10"/>
  <c r="AB26" i="10" s="1"/>
  <c r="AB22" i="10"/>
  <c r="O15" i="10"/>
  <c r="N15" i="10"/>
  <c r="M15" i="10"/>
  <c r="L15" i="10"/>
  <c r="K15" i="10"/>
  <c r="O14" i="10"/>
  <c r="N14" i="10"/>
  <c r="M14" i="10"/>
  <c r="L14" i="10"/>
  <c r="K14" i="10"/>
  <c r="O13" i="10"/>
  <c r="N13" i="10"/>
  <c r="M13" i="10"/>
  <c r="L13" i="10"/>
  <c r="K13" i="10"/>
  <c r="AA12" i="10"/>
  <c r="O12" i="10"/>
  <c r="N12" i="10"/>
  <c r="M12" i="10"/>
  <c r="L12" i="10"/>
  <c r="K12" i="10"/>
  <c r="O11" i="10"/>
  <c r="N11" i="10"/>
  <c r="M11" i="10"/>
  <c r="L11" i="10"/>
  <c r="K11" i="10"/>
  <c r="O10" i="10"/>
  <c r="N10" i="10"/>
  <c r="M10" i="10"/>
  <c r="L10" i="10"/>
  <c r="K10" i="10"/>
  <c r="O9" i="10"/>
  <c r="N9" i="10"/>
  <c r="M9" i="10"/>
  <c r="L9" i="10"/>
  <c r="K9" i="10"/>
  <c r="O8" i="10"/>
  <c r="N8" i="10"/>
  <c r="M8" i="10"/>
  <c r="L8" i="10"/>
  <c r="K8" i="10"/>
  <c r="J8" i="10"/>
  <c r="O7" i="10"/>
  <c r="N7" i="10"/>
  <c r="M7" i="10"/>
  <c r="L7" i="10"/>
  <c r="K7" i="10"/>
  <c r="J7" i="10"/>
  <c r="P6" i="10"/>
  <c r="O6" i="10"/>
  <c r="N6" i="10"/>
  <c r="M6" i="10"/>
  <c r="L6" i="10"/>
  <c r="K6" i="10"/>
  <c r="J6" i="10"/>
  <c r="J8" i="9"/>
  <c r="P9" i="9" s="1"/>
  <c r="P8" i="9"/>
  <c r="P10" i="9"/>
  <c r="P11" i="9"/>
  <c r="P12" i="9"/>
  <c r="P13" i="9"/>
  <c r="P14" i="9"/>
  <c r="P15" i="9"/>
  <c r="P16" i="9"/>
  <c r="P17" i="9"/>
  <c r="P18" i="9"/>
  <c r="P19" i="9"/>
  <c r="P20" i="9"/>
  <c r="P21" i="9"/>
  <c r="P7" i="9"/>
  <c r="K20" i="9"/>
  <c r="L20" i="9"/>
  <c r="M20" i="9"/>
  <c r="N20" i="9"/>
  <c r="O20" i="9"/>
  <c r="K21" i="9"/>
  <c r="L21" i="9"/>
  <c r="M21" i="9"/>
  <c r="N21" i="9"/>
  <c r="O21" i="9"/>
  <c r="K8" i="9"/>
  <c r="L8" i="9"/>
  <c r="M8" i="9"/>
  <c r="N8" i="9"/>
  <c r="O8" i="9"/>
  <c r="K9" i="9"/>
  <c r="L9" i="9"/>
  <c r="M9" i="9"/>
  <c r="N9" i="9"/>
  <c r="O9" i="9"/>
  <c r="K10" i="9"/>
  <c r="L10" i="9"/>
  <c r="M10" i="9"/>
  <c r="N10" i="9"/>
  <c r="O10" i="9"/>
  <c r="K11" i="9"/>
  <c r="L11" i="9"/>
  <c r="M11" i="9"/>
  <c r="N11" i="9"/>
  <c r="O11" i="9"/>
  <c r="K12" i="9"/>
  <c r="L12" i="9"/>
  <c r="M12" i="9"/>
  <c r="N12" i="9"/>
  <c r="O12" i="9"/>
  <c r="K13" i="9"/>
  <c r="L13" i="9"/>
  <c r="M13" i="9"/>
  <c r="N13" i="9"/>
  <c r="O13" i="9"/>
  <c r="K14" i="9"/>
  <c r="L14" i="9"/>
  <c r="M14" i="9"/>
  <c r="N14" i="9"/>
  <c r="O14" i="9"/>
  <c r="K15" i="9"/>
  <c r="L15" i="9"/>
  <c r="M15" i="9"/>
  <c r="N15" i="9"/>
  <c r="O15" i="9"/>
  <c r="K16" i="9"/>
  <c r="L16" i="9"/>
  <c r="M16" i="9"/>
  <c r="N16" i="9"/>
  <c r="O16" i="9"/>
  <c r="K17" i="9"/>
  <c r="L17" i="9"/>
  <c r="M17" i="9"/>
  <c r="N17" i="9"/>
  <c r="O17" i="9"/>
  <c r="K18" i="9"/>
  <c r="L18" i="9"/>
  <c r="M18" i="9"/>
  <c r="N18" i="9"/>
  <c r="O18" i="9"/>
  <c r="K19" i="9"/>
  <c r="L19" i="9"/>
  <c r="M19" i="9"/>
  <c r="N19" i="9"/>
  <c r="O19" i="9"/>
  <c r="L7" i="9"/>
  <c r="M7" i="9"/>
  <c r="N7" i="9"/>
  <c r="O7" i="9"/>
  <c r="K7" i="9"/>
  <c r="K6" i="9"/>
  <c r="AB37" i="9"/>
  <c r="AB34" i="9"/>
  <c r="AB31" i="9"/>
  <c r="AB28" i="9"/>
  <c r="AB25" i="9"/>
  <c r="AB26" i="9" s="1"/>
  <c r="AB14" i="9" s="1"/>
  <c r="AB22" i="9"/>
  <c r="J7" i="9"/>
  <c r="J6" i="9"/>
  <c r="O6" i="9"/>
  <c r="N6" i="9"/>
  <c r="AA12" i="9"/>
  <c r="P6" i="9"/>
  <c r="M6" i="9"/>
  <c r="L6" i="9"/>
  <c r="P8" i="10" l="1"/>
  <c r="P7" i="10"/>
  <c r="G21" i="10"/>
  <c r="Y12" i="10"/>
  <c r="G20" i="10"/>
  <c r="M21" i="10" s="1"/>
  <c r="G19" i="10"/>
  <c r="M20" i="10" s="1"/>
  <c r="G18" i="10"/>
  <c r="M19" i="10" s="1"/>
  <c r="G17" i="10"/>
  <c r="M18" i="10" s="1"/>
  <c r="G16" i="10"/>
  <c r="AB18" i="10"/>
  <c r="AB14" i="10"/>
  <c r="AB29" i="10"/>
  <c r="AB23" i="10" s="1"/>
  <c r="J40" i="10" s="1"/>
  <c r="AB17" i="10"/>
  <c r="E19" i="9"/>
  <c r="E20" i="9"/>
  <c r="E18" i="9"/>
  <c r="E21" i="9"/>
  <c r="E16" i="9"/>
  <c r="E17" i="9"/>
  <c r="AB38" i="9"/>
  <c r="AB18" i="9" s="1"/>
  <c r="AB35" i="9"/>
  <c r="AB17" i="9" s="1"/>
  <c r="AB32" i="9"/>
  <c r="AB29" i="9"/>
  <c r="AB15" i="10" l="1"/>
  <c r="F18" i="10" s="1"/>
  <c r="I19" i="10"/>
  <c r="I18" i="10"/>
  <c r="I21" i="10"/>
  <c r="I20" i="10"/>
  <c r="O21" i="10" s="1"/>
  <c r="I17" i="10"/>
  <c r="I16" i="10"/>
  <c r="M17" i="10"/>
  <c r="M16" i="10"/>
  <c r="X12" i="10"/>
  <c r="F21" i="10"/>
  <c r="F20" i="10"/>
  <c r="L21" i="10" s="1"/>
  <c r="F19" i="10"/>
  <c r="F17" i="10"/>
  <c r="F16" i="10"/>
  <c r="H20" i="10"/>
  <c r="H19" i="10"/>
  <c r="N20" i="10" s="1"/>
  <c r="Z12" i="10"/>
  <c r="H21" i="10"/>
  <c r="H18" i="10"/>
  <c r="N19" i="10" s="1"/>
  <c r="H17" i="10"/>
  <c r="N18" i="10" s="1"/>
  <c r="H16" i="10"/>
  <c r="AB19" i="10"/>
  <c r="AB12" i="10" s="1"/>
  <c r="E19" i="10"/>
  <c r="K20" i="10" s="1"/>
  <c r="E17" i="10"/>
  <c r="J13" i="10"/>
  <c r="J12" i="10"/>
  <c r="J10" i="10"/>
  <c r="J21" i="10"/>
  <c r="J20" i="10"/>
  <c r="J18" i="10"/>
  <c r="W12" i="10"/>
  <c r="J17" i="10"/>
  <c r="P18" i="10" s="1"/>
  <c r="J19" i="10"/>
  <c r="P20" i="10" s="1"/>
  <c r="J14" i="10"/>
  <c r="P15" i="10" s="1"/>
  <c r="J16" i="10"/>
  <c r="J11" i="10"/>
  <c r="E21" i="10"/>
  <c r="E20" i="10"/>
  <c r="K21" i="10" s="1"/>
  <c r="J15" i="10"/>
  <c r="J9" i="10"/>
  <c r="E18" i="10"/>
  <c r="E16" i="10"/>
  <c r="AB23" i="9"/>
  <c r="J40" i="9" s="1"/>
  <c r="H17" i="9"/>
  <c r="H19" i="9"/>
  <c r="H21" i="9"/>
  <c r="H16" i="9"/>
  <c r="H18" i="9"/>
  <c r="H20" i="9"/>
  <c r="I18" i="9"/>
  <c r="I19" i="9"/>
  <c r="I20" i="9"/>
  <c r="I21" i="9"/>
  <c r="I16" i="9"/>
  <c r="I17" i="9"/>
  <c r="Z12" i="9"/>
  <c r="P13" i="10" l="1"/>
  <c r="O18" i="10"/>
  <c r="P21" i="10"/>
  <c r="O19" i="10"/>
  <c r="P11" i="10"/>
  <c r="L18" i="10"/>
  <c r="P17" i="10"/>
  <c r="L20" i="10"/>
  <c r="N17" i="10"/>
  <c r="N16" i="10"/>
  <c r="K17" i="10"/>
  <c r="K16" i="10"/>
  <c r="P19" i="10"/>
  <c r="K19" i="10"/>
  <c r="O17" i="10"/>
  <c r="O16" i="10"/>
  <c r="P10" i="10"/>
  <c r="P9" i="10"/>
  <c r="P16" i="10"/>
  <c r="N21" i="10"/>
  <c r="L16" i="10"/>
  <c r="L17" i="10"/>
  <c r="P14" i="10"/>
  <c r="P12" i="10"/>
  <c r="K18" i="10"/>
  <c r="L19" i="10"/>
  <c r="O20" i="10"/>
  <c r="AB19" i="9"/>
  <c r="AB12" i="9" s="1"/>
  <c r="AB15" i="9" l="1"/>
  <c r="AB16" i="9"/>
  <c r="W12" i="9"/>
  <c r="G19" i="9" l="1"/>
  <c r="G20" i="9"/>
  <c r="G21" i="9"/>
  <c r="G16" i="9"/>
  <c r="G17" i="9"/>
  <c r="G18" i="9"/>
  <c r="F18" i="9"/>
  <c r="F19" i="9"/>
  <c r="F16" i="9"/>
  <c r="F17" i="9"/>
  <c r="F20" i="9"/>
  <c r="F21" i="9"/>
  <c r="J15" i="9"/>
  <c r="J10" i="9"/>
  <c r="J9" i="9"/>
  <c r="J14" i="9"/>
  <c r="J20" i="9"/>
  <c r="J12" i="9"/>
  <c r="J13" i="9"/>
  <c r="J11" i="9"/>
  <c r="J21" i="9"/>
  <c r="J19" i="9"/>
  <c r="J18" i="9"/>
  <c r="J17" i="9"/>
  <c r="J16" i="9"/>
  <c r="Y12" i="9"/>
  <c r="X12"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688D3A-E120-4089-9363-4FCB1A2F2BF3}" keepAlive="1" name="Query - Table1" description="Connection to the 'Table1' query in the workbook." type="5" refreshedVersion="6"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<sst xmlns="http://schemas.openxmlformats.org/spreadsheetml/2006/main" count="100" uniqueCount="49">
  <si>
    <t>1)</t>
  </si>
  <si>
    <t>Akstur</t>
  </si>
  <si>
    <t>Flug</t>
  </si>
  <si>
    <t>Úrgangur</t>
  </si>
  <si>
    <t>Rafmagn</t>
  </si>
  <si>
    <t>Markmið</t>
  </si>
  <si>
    <t>% breyting í losun frá akstri frá árinu áður</t>
  </si>
  <si>
    <t>% breyting í losun frá flugi frá árinu áður</t>
  </si>
  <si>
    <t>% breyting í losun frá úrgangi frá árinu áður</t>
  </si>
  <si>
    <t>% breyting í losun frá rafmagni frá árinu áður</t>
  </si>
  <si>
    <t>Samtals % breyting í losun frá árinu áður</t>
  </si>
  <si>
    <t xml:space="preserve">Hér má sjá nauðsynlegan meðalsamdrátt á ári til þess að ná yfirmarkmiði um heildarsamdrátt í losun gróðurhúslofttegunda árið 2030 m.v. valið viðmiðunarár </t>
  </si>
  <si>
    <t>Samtals</t>
  </si>
  <si>
    <t>Minnkun á ári frá viðmiðunarári til 2030 (akstur):</t>
  </si>
  <si>
    <t>Minnkun á ári frá viðmiðunarári til 2030 (flug):</t>
  </si>
  <si>
    <t>Minnkun á ári frá viðmiðunarári til 2030 (úrgangur):</t>
  </si>
  <si>
    <t>Minnkun á ári frá viðmiðunarári til 2030 (rafmagn):</t>
  </si>
  <si>
    <t>Minnkun á ári frá viðmiðunarári til 2030 (samtals)</t>
  </si>
  <si>
    <t>Heildarlosun á viðmiðunarári:</t>
  </si>
  <si>
    <t>Heildarlosun 2030:</t>
  </si>
  <si>
    <t>Losun á viðmiðunarári (akstur):</t>
  </si>
  <si>
    <t>Losun 2030 (akstur):</t>
  </si>
  <si>
    <t>Losun á viðmiðunarári (flug):</t>
  </si>
  <si>
    <t>Losun 2030 (flug):</t>
  </si>
  <si>
    <t>Losun á viðmiðunarári (úrgangur):</t>
  </si>
  <si>
    <t>Losun 2030 (úrgangur):</t>
  </si>
  <si>
    <t>Losun á viðmiðunarári (rafmagn):</t>
  </si>
  <si>
    <t>Losun 2030 (rafmagn):</t>
  </si>
  <si>
    <t>2)</t>
  </si>
  <si>
    <t>Veljið viðmiðunarár:</t>
  </si>
  <si>
    <t>Setjið inn samdráttarmarkmið (akstur):</t>
  </si>
  <si>
    <t>Setjið inn samdráttarmarkmið (flug):</t>
  </si>
  <si>
    <t>Setjið inn samdráttarmarkmið (úrgangur)</t>
  </si>
  <si>
    <t>Setjið inn samdráttarmarkmið (rafmagn)</t>
  </si>
  <si>
    <t>Ekki skrifa neitt hér. Hér kemur samdráttarmarkmið (samtals):</t>
  </si>
  <si>
    <t>2) Setjið inn viðmiðunarár og samdráttarmarkmið fyrir akstur, flug, úrgang og rafmagn. Allar aðrar stærðir reiknast sjálfkrafa. Prufið að setja inn mismunandi undirmarkmið fyrir hvern losunarþátt þar til þið sjáið hversu mikill samdráttur er nauðsynlegur í hverjum losunarþætti fyrir sig til að ná settu yfirmarkmiði um samdrátt í losun gróðurhúsalofttegunda</t>
  </si>
  <si>
    <t>Heitt vatn</t>
  </si>
  <si>
    <t>Minnkun á ári frá viðmiðunarári til 2030 (heitt vatn):</t>
  </si>
  <si>
    <t>Losun á viðmiðunarári (heitt vatn):</t>
  </si>
  <si>
    <t>Losun 2030 (heitt vatn):</t>
  </si>
  <si>
    <t>Setjið inn samdráttarmarkmið (heitt vatn)</t>
  </si>
  <si>
    <t>% breyting í losun frá heitu vatni frá árinu áður</t>
  </si>
  <si>
    <t xml:space="preserve">Hér sést myndræn framsetning á nauðsynlegum samdrætti sem þarf að eiga sér stað á hverju ári til þess að sett yfirmarkmið um samdrátt í losun gróðurhúsalofttegunda náist fyrir 2030. </t>
  </si>
  <si>
    <t xml:space="preserve">1) Fyllið inn niðurstöður Græns bókhalds (í skærgulu reitina) fyrir ykkar stofnun fyrir þau ár sem þið hafið skilað Grænu bókhaldi og eyðið því sem er forskráð í gulu reitina. Niðurstöður Græns bókhalds finnið þið í ykkar skýrsluskilum á gagnagátt Græns bókhalds undir lið 12.             </t>
  </si>
  <si>
    <t xml:space="preserve">Allar losunartölur eru í tonnum koldíoxíðígilda á ársverk. Hér í skjalinu má sjá niðurstöður Græns bókhalds fyrir árin 2015-2020. Skærgulir reitir eru breytanlegir aðrir ekki. Gulu reitirnir eru tilbúin gildi til að breyta.                                                                                                                                                                                                                                                                                                              </t>
  </si>
  <si>
    <t>2) Setjið inn viðmiðunarárið sem sveitarfélagið hefur valið sér og samdráttarmarkmið í prósentu fyrir hvern losunarflokk (akstur, flug, úrgang og rafmagn). Allar aðrar stærðir reiknast sjálfkrafa. Prufið að setja inn mismunandi undirmarkmið fyrir hvern losunarþátt þar til þið sjáið hversu mikill samdráttur er nauðsynlegur í hverjum losunarþætti fyrir sig til að ná settu yfirmarkmiði um samdrátt í losun gróðurhúsalofttegunda</t>
  </si>
  <si>
    <t>Hér má sjá nauðsynlegan meðalsamdrátt á ári til þess að ná yfirmarkmiði um heildarsamdrátt í losun gróðurhúslofttegunda árið 2030 m.v. valið viðmiðunarár.</t>
  </si>
  <si>
    <t xml:space="preserve">1) Fyllið inn í skærgulu reitina gögn um sögulega losun gróðurhúsalofttegunda vegna reksturs sveitarfélagsins úr losunarbókhaldi þess fyrir þau ár sem til eru gögn fyrir. Eyðið því sem er forskráð í gulu reitina. Aðrir reitir í töflunni uppfærast sjálfkrafa í takt við gögnin í skærgulu reitunum.        </t>
  </si>
  <si>
    <t xml:space="preserve">Allar losunartölur eru í tonnum koldíoxíð ígilda á árs grundvelli. Í skjalinu er hægt að færa inn upplýsingar um sögulega losun sveitarfélagsins og reikna út samdráttarmarkmið til framtíðar. Skærgulir reitir eru breytanlegir aðrir ekki.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</si>
</sst>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5"/>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0" fillId="0" borderId="0" xfId="0" applyAlignment="1">
      <alignment horizontal="right"/>
    </xf>
    <xf numFmtId="0" fontId="3" fillId="6" borderId="1" xfId="0" applyFont="1" applyFill="1" applyBorder="1" applyProtection="1">
      <protection hidden="1"/>
    </xf>
    <xf numFmtId="164" fontId="3" fillId="6" borderId="2" xfId="0" applyNumberFormat="1" applyFont="1" applyFill="1" applyBorder="1" applyProtection="1">
      <protection hidden="1"/>
    </xf>
    <xf numFmtId="10" fontId="3" fillId="0" borderId="1" xfId="1" applyNumberFormat="1" applyFont="1" applyBorder="1" applyProtection="1">
      <protection hidden="1"/>
    </xf>
    <xf numFmtId="10" fontId="3" fillId="0" borderId="2" xfId="1" applyNumberFormat="1" applyFont="1" applyBorder="1" applyProtection="1">
      <protection hidden="1"/>
    </xf>
    <xf numFmtId="10" fontId="3" fillId="0" borderId="2" xfId="1" applyNumberFormat="1" applyFont="1" applyFill="1" applyBorder="1" applyProtection="1">
      <protection hidden="1"/>
    </xf>
    <xf numFmtId="0" fontId="0" fillId="0" borderId="0" xfId="0" applyProtection="1">
      <protection hidden="1"/>
    </xf>
    <xf numFmtId="0" fontId="0" fillId="0" borderId="13" xfId="0" applyBorder="1"/>
    <xf numFmtId="10" fontId="0" fillId="6" borderId="13" xfId="1" applyNumberFormat="1" applyFont="1" applyFill="1" applyBorder="1" applyProtection="1">
      <protection hidden="1"/>
    </xf>
    <xf numFmtId="164" fontId="0" fillId="2" borderId="13" xfId="0" applyNumberFormat="1" applyFill="1" applyBorder="1" applyProtection="1">
      <protection hidden="1"/>
    </xf>
    <xf numFmtId="164" fontId="0" fillId="0" borderId="13" xfId="0" applyNumberFormat="1" applyBorder="1" applyProtection="1">
      <protection hidden="1"/>
    </xf>
    <xf numFmtId="0" fontId="0" fillId="0" borderId="13" xfId="0" applyBorder="1" applyProtection="1">
      <protection hidden="1"/>
    </xf>
    <xf numFmtId="164" fontId="0" fillId="2" borderId="15" xfId="0" applyNumberFormat="1" applyFill="1" applyBorder="1" applyProtection="1">
      <protection hidden="1"/>
    </xf>
    <xf numFmtId="0" fontId="0" fillId="9" borderId="0" xfId="0" applyFill="1"/>
    <xf numFmtId="0" fontId="2" fillId="9" borderId="0" xfId="0" applyFont="1" applyFill="1" applyAlignment="1">
      <alignment horizontal="left" wrapText="1"/>
    </xf>
    <xf numFmtId="0" fontId="0" fillId="9" borderId="8" xfId="0" applyFill="1" applyBorder="1"/>
    <xf numFmtId="2" fontId="0" fillId="9" borderId="8" xfId="1" applyNumberFormat="1" applyFont="1" applyFill="1" applyBorder="1" applyProtection="1">
      <protection hidden="1"/>
    </xf>
    <xf numFmtId="165" fontId="0" fillId="9" borderId="0" xfId="1" applyNumberFormat="1" applyFont="1" applyFill="1" applyBorder="1" applyProtection="1">
      <protection hidden="1"/>
    </xf>
    <xf numFmtId="166" fontId="0" fillId="9" borderId="0" xfId="1" applyNumberFormat="1" applyFont="1" applyFill="1" applyBorder="1" applyProtection="1">
      <protection hidden="1"/>
    </xf>
    <xf numFmtId="0" fontId="0" fillId="9" borderId="0" xfId="0" applyFill="1" applyAlignment="1" applyProtection="1">
      <alignment horizontal="right"/>
      <protection hidden="1"/>
    </xf>
    <xf numFmtId="2" fontId="0" fillId="9" borderId="0" xfId="1" applyNumberFormat="1" applyFont="1" applyFill="1" applyBorder="1" applyProtection="1">
      <protection hidden="1"/>
    </xf>
    <xf numFmtId="164" fontId="0" fillId="9" borderId="0" xfId="1" applyNumberFormat="1" applyFont="1" applyFill="1" applyBorder="1" applyProtection="1">
      <protection hidden="1"/>
    </xf>
    <xf numFmtId="165" fontId="0" fillId="9" borderId="8" xfId="1" applyNumberFormat="1" applyFont="1" applyFill="1" applyBorder="1" applyProtection="1">
      <protection hidden="1"/>
    </xf>
    <xf numFmtId="164" fontId="0" fillId="9" borderId="8" xfId="0" applyNumberFormat="1" applyFill="1" applyBorder="1" applyProtection="1">
      <protection hidden="1"/>
    </xf>
    <xf numFmtId="164" fontId="0" fillId="9" borderId="0" xfId="0" applyNumberFormat="1" applyFill="1" applyProtection="1">
      <protection hidden="1"/>
    </xf>
    <xf numFmtId="0" fontId="0" fillId="9" borderId="0" xfId="0" applyFill="1" applyProtection="1">
      <protection hidden="1"/>
    </xf>
    <xf numFmtId="0" fontId="0" fillId="9" borderId="8" xfId="0" applyFill="1" applyBorder="1" applyProtection="1">
      <protection hidden="1"/>
    </xf>
    <xf numFmtId="0" fontId="0" fillId="9" borderId="14" xfId="0" applyFill="1" applyBorder="1" applyProtection="1">
      <protection hidden="1"/>
    </xf>
    <xf numFmtId="0" fontId="0" fillId="9" borderId="3" xfId="0" applyFill="1" applyBorder="1" applyProtection="1">
      <protection hidden="1"/>
    </xf>
    <xf numFmtId="0" fontId="0" fillId="9" borderId="3" xfId="0" applyFill="1" applyBorder="1" applyAlignment="1" applyProtection="1">
      <alignment horizontal="right"/>
      <protection hidden="1"/>
    </xf>
    <xf numFmtId="164" fontId="0" fillId="9" borderId="13" xfId="1" applyNumberFormat="1" applyFont="1" applyFill="1" applyBorder="1" applyProtection="1">
      <protection hidden="1"/>
    </xf>
    <xf numFmtId="164" fontId="0" fillId="9" borderId="0" xfId="0" applyNumberFormat="1" applyFill="1"/>
    <xf numFmtId="164" fontId="0" fillId="9" borderId="0" xfId="1" applyNumberFormat="1" applyFont="1" applyFill="1" applyBorder="1"/>
    <xf numFmtId="1" fontId="0" fillId="9" borderId="0" xfId="1" applyNumberFormat="1" applyFont="1" applyFill="1" applyBorder="1"/>
    <xf numFmtId="2" fontId="0" fillId="9" borderId="0" xfId="1" applyNumberFormat="1" applyFont="1" applyFill="1" applyBorder="1"/>
    <xf numFmtId="0" fontId="0" fillId="9" borderId="0" xfId="0" applyFill="1" applyAlignment="1">
      <alignment horizontal="right"/>
    </xf>
    <xf numFmtId="0" fontId="0" fillId="9" borderId="16" xfId="0" applyFill="1" applyBorder="1"/>
    <xf numFmtId="0" fontId="0" fillId="9" borderId="17" xfId="0" applyFill="1" applyBorder="1"/>
    <xf numFmtId="0" fontId="0" fillId="9" borderId="17" xfId="0" applyFill="1" applyBorder="1" applyAlignment="1">
      <alignment horizontal="right"/>
    </xf>
    <xf numFmtId="0" fontId="0" fillId="9" borderId="18" xfId="0" applyFill="1" applyBorder="1"/>
    <xf numFmtId="0" fontId="0" fillId="9" borderId="19" xfId="0" applyFill="1" applyBorder="1"/>
    <xf numFmtId="0" fontId="0" fillId="9" borderId="20" xfId="0" applyFill="1" applyBorder="1"/>
    <xf numFmtId="0" fontId="0" fillId="9" borderId="21" xfId="0" applyFill="1" applyBorder="1"/>
    <xf numFmtId="0" fontId="0" fillId="9" borderId="22" xfId="0" applyFill="1" applyBorder="1"/>
    <xf numFmtId="0" fontId="0" fillId="9" borderId="22" xfId="0" applyFill="1" applyBorder="1" applyAlignment="1">
      <alignment horizontal="right"/>
    </xf>
    <xf numFmtId="0" fontId="0" fillId="9" borderId="23" xfId="0" applyFill="1" applyBorder="1"/>
    <xf numFmtId="0" fontId="4" fillId="2" borderId="1" xfId="0" applyFont="1" applyFill="1" applyBorder="1" applyAlignment="1">
      <alignment horizontal="right" wrapText="1"/>
    </xf>
    <xf numFmtId="9" fontId="4" fillId="8" borderId="15" xfId="1" applyFont="1" applyFill="1" applyBorder="1" applyAlignment="1">
      <alignment horizontal="center" vertical="center"/>
    </xf>
    <xf numFmtId="2" fontId="7" fillId="4" borderId="0" xfId="0" applyNumberFormat="1" applyFont="1" applyFill="1" applyProtection="1">
      <protection hidden="1"/>
    </xf>
    <xf numFmtId="2" fontId="7" fillId="4" borderId="0" xfId="0" applyNumberFormat="1" applyFont="1" applyFill="1"/>
    <xf numFmtId="9" fontId="7" fillId="7" borderId="0" xfId="1" applyFont="1" applyFill="1" applyBorder="1" applyProtection="1"/>
    <xf numFmtId="9" fontId="7" fillId="7" borderId="13" xfId="1" applyFont="1" applyFill="1" applyBorder="1" applyProtection="1"/>
    <xf numFmtId="0" fontId="7" fillId="2" borderId="7" xfId="0" applyFont="1" applyFill="1" applyBorder="1"/>
    <xf numFmtId="0" fontId="4" fillId="2" borderId="11" xfId="0" applyFont="1" applyFill="1" applyBorder="1" applyAlignment="1">
      <alignment horizontal="right"/>
    </xf>
    <xf numFmtId="0" fontId="4" fillId="2" borderId="11" xfId="0" applyFont="1" applyFill="1" applyBorder="1"/>
    <xf numFmtId="0" fontId="4" fillId="2" borderId="11" xfId="0" applyFont="1" applyFill="1" applyBorder="1" applyAlignment="1">
      <alignment horizontal="center" wrapText="1"/>
    </xf>
    <xf numFmtId="0" fontId="4" fillId="2" borderId="11" xfId="0" applyFont="1" applyFill="1" applyBorder="1" applyAlignment="1">
      <alignment horizontal="right" wrapText="1"/>
    </xf>
    <xf numFmtId="0" fontId="4" fillId="2" borderId="12" xfId="0" applyFont="1" applyFill="1" applyBorder="1" applyAlignment="1">
      <alignment horizontal="right" wrapText="1"/>
    </xf>
    <xf numFmtId="0" fontId="4" fillId="2" borderId="8" xfId="0" applyFont="1" applyFill="1" applyBorder="1"/>
    <xf numFmtId="2" fontId="7" fillId="3" borderId="0" xfId="0" applyNumberFormat="1" applyFont="1" applyFill="1" applyProtection="1">
      <protection locked="0"/>
    </xf>
    <xf numFmtId="0" fontId="4" fillId="3" borderId="1" xfId="0" applyFont="1" applyFill="1" applyBorder="1" applyAlignment="1" applyProtection="1">
      <alignment horizontal="center" vertical="center"/>
      <protection locked="0"/>
    </xf>
    <xf numFmtId="9" fontId="7" fillId="3" borderId="1" xfId="1" applyFont="1" applyFill="1" applyBorder="1" applyAlignment="1" applyProtection="1">
      <alignment horizontal="center" vertical="center"/>
      <protection locked="0"/>
    </xf>
    <xf numFmtId="0" fontId="8" fillId="0" borderId="0" xfId="0" applyFont="1" applyAlignment="1">
      <alignment vertical="center" wrapText="1"/>
    </xf>
    <xf numFmtId="0" fontId="5" fillId="5" borderId="7" xfId="0" applyFont="1" applyFill="1" applyBorder="1" applyAlignment="1">
      <alignment vertical="center" wrapText="1"/>
    </xf>
    <xf numFmtId="0" fontId="5" fillId="5" borderId="11"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2" fillId="5" borderId="8" xfId="0" applyFont="1" applyFill="1" applyBorder="1" applyAlignment="1">
      <alignment vertical="center" wrapText="1"/>
    </xf>
    <xf numFmtId="0" fontId="2" fillId="5" borderId="0" xfId="0" applyFont="1" applyFill="1" applyAlignment="1">
      <alignment vertical="center" wrapText="1"/>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5" borderId="3" xfId="0" applyFont="1" applyFill="1" applyBorder="1" applyAlignment="1">
      <alignment vertical="center" wrapText="1"/>
    </xf>
    <xf numFmtId="0" fontId="2" fillId="5" borderId="15" xfId="0" applyFont="1" applyFill="1" applyBorder="1" applyAlignment="1">
      <alignment vertical="center" wrapText="1"/>
    </xf>
    <xf numFmtId="0" fontId="5" fillId="5" borderId="7"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3"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9" fillId="5" borderId="4" xfId="0" applyFont="1" applyFill="1" applyBorder="1" applyAlignment="1">
      <alignment horizontal="center" vertical="center" wrapText="1"/>
    </xf>
    <xf numFmtId="0" fontId="0" fillId="0" borderId="5" xfId="0" applyBorder="1"/>
    <xf numFmtId="0" fontId="0" fillId="0" borderId="6" xfId="0" applyBorder="1"/>
    <xf numFmtId="0" fontId="6" fillId="7" borderId="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5" fillId="5" borderId="12" xfId="0" applyFont="1" applyFill="1" applyBorder="1" applyAlignment="1">
      <alignment vertical="center" wrapText="1"/>
    </xf>
    <xf numFmtId="0" fontId="5" fillId="5" borderId="8" xfId="0" applyFont="1" applyFill="1" applyBorder="1" applyAlignment="1">
      <alignment vertical="center" wrapText="1"/>
    </xf>
    <xf numFmtId="0" fontId="5" fillId="5" borderId="0" xfId="0" applyFont="1" applyFill="1" applyAlignment="1">
      <alignment vertical="center" wrapText="1"/>
    </xf>
    <xf numFmtId="0" fontId="5" fillId="5" borderId="13" xfId="0" applyFont="1" applyFill="1"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5" fillId="5" borderId="7" xfId="0" applyFont="1" applyFill="1" applyBorder="1" applyAlignment="1">
      <alignment wrapText="1"/>
    </xf>
    <xf numFmtId="0" fontId="5" fillId="5" borderId="11" xfId="0" applyFont="1" applyFill="1" applyBorder="1" applyAlignment="1">
      <alignment wrapText="1"/>
    </xf>
    <xf numFmtId="0" fontId="5" fillId="5" borderId="12" xfId="0" applyFont="1" applyFill="1" applyBorder="1" applyAlignment="1">
      <alignment wrapText="1"/>
    </xf>
    <xf numFmtId="0" fontId="5" fillId="5" borderId="8" xfId="0" applyFont="1" applyFill="1" applyBorder="1" applyAlignment="1">
      <alignment wrapText="1"/>
    </xf>
    <xf numFmtId="0" fontId="5" fillId="5" borderId="0" xfId="0" applyFont="1" applyFill="1" applyAlignment="1">
      <alignment wrapText="1"/>
    </xf>
    <xf numFmtId="0" fontId="5" fillId="5" borderId="13" xfId="0" applyFont="1" applyFill="1" applyBorder="1" applyAlignment="1">
      <alignment wrapText="1"/>
    </xf>
    <xf numFmtId="0" fontId="8" fillId="0" borderId="8" xfId="0" applyFont="1" applyBorder="1" applyAlignment="1">
      <alignment wrapText="1"/>
    </xf>
    <xf numFmtId="0" fontId="8" fillId="0" borderId="0" xfId="0" applyFont="1" applyAlignment="1">
      <alignment wrapText="1"/>
    </xf>
    <xf numFmtId="0" fontId="8" fillId="0" borderId="13" xfId="0" applyFont="1" applyBorder="1" applyAlignment="1">
      <alignment wrapText="1"/>
    </xf>
    <xf numFmtId="0" fontId="0" fillId="0" borderId="14" xfId="0" applyBorder="1" applyAlignment="1">
      <alignment wrapText="1"/>
    </xf>
    <xf numFmtId="0" fontId="0" fillId="0" borderId="3" xfId="0" applyBorder="1" applyAlignment="1">
      <alignment wrapText="1"/>
    </xf>
    <xf numFmtId="0" fontId="0" fillId="0" borderId="15" xfId="0" applyBorder="1" applyAlignment="1">
      <alignment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Losun frá 2015 og heildarmarkmið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stacked"/>
        <c:varyColors val="0"/>
        <c:ser>
          <c:idx val="0"/>
          <c:order val="0"/>
          <c:tx>
            <c:strRef>
              <c:f>'Markmiðareiknir (uppfært)'!$E$5</c:f>
              <c:strCache>
                <c:ptCount val="1"/>
                <c:pt idx="0">
                  <c:v>Akstur</c:v>
                </c:pt>
              </c:strCache>
            </c:strRef>
          </c:tx>
          <c:spPr>
            <a:solidFill>
              <a:schemeClr val="accent2"/>
            </a:solidFill>
            <a:ln>
              <a:noFill/>
            </a:ln>
            <a:effectLst/>
          </c:spPr>
          <c:invertIfNegative val="0"/>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(uppfært)'!$E$6:$E$21</c:f>
              <c:numCache>
                <c:formatCode>0.00</c:formatCode>
                <c:ptCount val="16"/>
                <c:pt idx="0">
                  <c:v>40.5</c:v>
                </c:pt>
                <c:pt idx="1">
                  <c:v>52.5</c:v>
                </c:pt>
                <c:pt idx="2">
                  <c:v>76</c:v>
                </c:pt>
                <c:pt idx="3">
                  <c:v>78</c:v>
                </c:pt>
                <c:pt idx="4">
                  <c:v>126</c:v>
                </c:pt>
                <c:pt idx="5">
                  <c:v>118.5</c:v>
                </c:pt>
                <c:pt idx="6">
                  <c:v>131.321</c:v>
                </c:pt>
                <c:pt idx="7">
                  <c:v>118.5</c:v>
                </c:pt>
                <c:pt idx="8">
                  <c:v>131.321</c:v>
                </c:pt>
                <c:pt idx="9">
                  <c:v>118.5</c:v>
                </c:pt>
                <c:pt idx="10">
                  <c:v>106.65</c:v>
                </c:pt>
                <c:pt idx="11">
                  <c:v>94.8</c:v>
                </c:pt>
                <c:pt idx="12">
                  <c:v>82.95</c:v>
                </c:pt>
                <c:pt idx="13">
                  <c:v>71.099999999999994</c:v>
                </c:pt>
                <c:pt idx="14">
                  <c:v>59.250000000000007</c:v>
                </c:pt>
                <c:pt idx="15">
                  <c:v>47.400000000000006</c:v>
                </c:pt>
              </c:numCache>
            </c:numRef>
          </c:val>
          <c:extLst>
            <c:ext xmlns:c16="http://schemas.microsoft.com/office/drawing/2014/chart" uri="{C3380CC4-5D6E-409C-BE32-E72D297353CC}">
              <c16:uniqueId val="{00000000-6970-46F7-B31D-9B26957BFF33}"/>
            </c:ext>
          </c:extLst>
        </c:ser>
        <c:ser>
          <c:idx val="1"/>
          <c:order val="1"/>
          <c:tx>
            <c:strRef>
              <c:f>'Markmiðareiknir (uppfært)'!$F$5</c:f>
              <c:strCache>
                <c:ptCount val="1"/>
                <c:pt idx="0">
                  <c:v>Flug</c:v>
                </c:pt>
              </c:strCache>
            </c:strRef>
          </c:tx>
          <c:spPr>
            <a:solidFill>
              <a:schemeClr val="accent4"/>
            </a:solidFill>
            <a:ln>
              <a:noFill/>
            </a:ln>
            <a:effectLst/>
          </c:spPr>
          <c:invertIfNegative val="0"/>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(uppfært)'!$F$6:$F$21</c:f>
              <c:numCache>
                <c:formatCode>0.00</c:formatCode>
                <c:ptCount val="16"/>
                <c:pt idx="0">
                  <c:v>45</c:v>
                </c:pt>
                <c:pt idx="1">
                  <c:v>64</c:v>
                </c:pt>
                <c:pt idx="2">
                  <c:v>76</c:v>
                </c:pt>
                <c:pt idx="3">
                  <c:v>79</c:v>
                </c:pt>
                <c:pt idx="4">
                  <c:v>71</c:v>
                </c:pt>
                <c:pt idx="5">
                  <c:v>12.6</c:v>
                </c:pt>
                <c:pt idx="6">
                  <c:v>12.143000000000001</c:v>
                </c:pt>
                <c:pt idx="7">
                  <c:v>12.6</c:v>
                </c:pt>
                <c:pt idx="8">
                  <c:v>12.143000000000001</c:v>
                </c:pt>
                <c:pt idx="9">
                  <c:v>12.6</c:v>
                </c:pt>
                <c:pt idx="10">
                  <c:v>11.969999999999999</c:v>
                </c:pt>
                <c:pt idx="11">
                  <c:v>11.34</c:v>
                </c:pt>
                <c:pt idx="12">
                  <c:v>10.709999999999999</c:v>
                </c:pt>
                <c:pt idx="13">
                  <c:v>10.079999999999998</c:v>
                </c:pt>
                <c:pt idx="14">
                  <c:v>9.4499999999999993</c:v>
                </c:pt>
                <c:pt idx="15">
                  <c:v>8.8199999999999985</c:v>
                </c:pt>
              </c:numCache>
            </c:numRef>
          </c:val>
          <c:extLst>
            <c:ext xmlns:c16="http://schemas.microsoft.com/office/drawing/2014/chart" uri="{C3380CC4-5D6E-409C-BE32-E72D297353CC}">
              <c16:uniqueId val="{00000001-6970-46F7-B31D-9B26957BFF33}"/>
            </c:ext>
          </c:extLst>
        </c:ser>
        <c:ser>
          <c:idx val="2"/>
          <c:order val="2"/>
          <c:tx>
            <c:strRef>
              <c:f>'Markmiðareiknir (uppfært)'!$G$5</c:f>
              <c:strCache>
                <c:ptCount val="1"/>
                <c:pt idx="0">
                  <c:v>Úrgangur</c:v>
                </c:pt>
              </c:strCache>
            </c:strRef>
          </c:tx>
          <c:spPr>
            <a:solidFill>
              <a:schemeClr val="accent6"/>
            </a:solidFill>
            <a:ln>
              <a:noFill/>
            </a:ln>
            <a:effectLst/>
          </c:spPr>
          <c:invertIfNegative val="0"/>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(uppfært)'!$G$6:$G$21</c:f>
              <c:numCache>
                <c:formatCode>0.00</c:formatCode>
                <c:ptCount val="16"/>
                <c:pt idx="0">
                  <c:v>1.5</c:v>
                </c:pt>
                <c:pt idx="1">
                  <c:v>1.5</c:v>
                </c:pt>
                <c:pt idx="2">
                  <c:v>2</c:v>
                </c:pt>
                <c:pt idx="3">
                  <c:v>1.6</c:v>
                </c:pt>
                <c:pt idx="4">
                  <c:v>1.8</c:v>
                </c:pt>
                <c:pt idx="5">
                  <c:v>0.7</c:v>
                </c:pt>
                <c:pt idx="6">
                  <c:v>0.36199999999999999</c:v>
                </c:pt>
                <c:pt idx="7">
                  <c:v>0.7</c:v>
                </c:pt>
                <c:pt idx="8">
                  <c:v>0.36199999999999999</c:v>
                </c:pt>
                <c:pt idx="9">
                  <c:v>0.7</c:v>
                </c:pt>
                <c:pt idx="10">
                  <c:v>0.67666666666666664</c:v>
                </c:pt>
                <c:pt idx="11">
                  <c:v>0.65333333333333332</c:v>
                </c:pt>
                <c:pt idx="12">
                  <c:v>0.62999999999999989</c:v>
                </c:pt>
                <c:pt idx="13">
                  <c:v>0.60666666666666658</c:v>
                </c:pt>
                <c:pt idx="14">
                  <c:v>0.58333333333333326</c:v>
                </c:pt>
                <c:pt idx="15">
                  <c:v>0.55999999999999994</c:v>
                </c:pt>
              </c:numCache>
            </c:numRef>
          </c:val>
          <c:extLst>
            <c:ext xmlns:c16="http://schemas.microsoft.com/office/drawing/2014/chart" uri="{C3380CC4-5D6E-409C-BE32-E72D297353CC}">
              <c16:uniqueId val="{00000002-6970-46F7-B31D-9B26957BFF33}"/>
            </c:ext>
          </c:extLst>
        </c:ser>
        <c:ser>
          <c:idx val="3"/>
          <c:order val="3"/>
          <c:tx>
            <c:strRef>
              <c:f>'Markmiðareiknir (uppfært)'!$H$5</c:f>
              <c:strCache>
                <c:ptCount val="1"/>
                <c:pt idx="0">
                  <c:v>Rafmagn</c:v>
                </c:pt>
              </c:strCache>
            </c:strRef>
          </c:tx>
          <c:spPr>
            <a:solidFill>
              <a:schemeClr val="accent2">
                <a:lumMod val="60000"/>
              </a:schemeClr>
            </a:solidFill>
            <a:ln>
              <a:noFill/>
            </a:ln>
            <a:effectLst/>
          </c:spPr>
          <c:invertIfNegative val="0"/>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(uppfært)'!$H$6:$H$21</c:f>
              <c:numCache>
                <c:formatCode>0.00</c:formatCode>
                <c:ptCount val="16"/>
                <c:pt idx="0">
                  <c:v>1</c:v>
                </c:pt>
                <c:pt idx="1">
                  <c:v>1</c:v>
                </c:pt>
                <c:pt idx="2">
                  <c:v>1.2</c:v>
                </c:pt>
                <c:pt idx="3">
                  <c:v>0.7</c:v>
                </c:pt>
                <c:pt idx="4">
                  <c:v>0.9</c:v>
                </c:pt>
                <c:pt idx="5">
                  <c:v>1.2</c:v>
                </c:pt>
                <c:pt idx="6">
                  <c:v>0.91200000000000003</c:v>
                </c:pt>
                <c:pt idx="7">
                  <c:v>1.2</c:v>
                </c:pt>
                <c:pt idx="8">
                  <c:v>0.91200000000000003</c:v>
                </c:pt>
                <c:pt idx="9">
                  <c:v>1.2</c:v>
                </c:pt>
                <c:pt idx="10">
                  <c:v>1.17</c:v>
                </c:pt>
                <c:pt idx="11">
                  <c:v>1.1399999999999999</c:v>
                </c:pt>
                <c:pt idx="12">
                  <c:v>1.1099999999999999</c:v>
                </c:pt>
                <c:pt idx="13">
                  <c:v>1.08</c:v>
                </c:pt>
                <c:pt idx="14">
                  <c:v>1.05</c:v>
                </c:pt>
                <c:pt idx="15">
                  <c:v>1.02</c:v>
                </c:pt>
              </c:numCache>
            </c:numRef>
          </c:val>
          <c:extLst>
            <c:ext xmlns:c16="http://schemas.microsoft.com/office/drawing/2014/chart" uri="{C3380CC4-5D6E-409C-BE32-E72D297353CC}">
              <c16:uniqueId val="{00000003-6970-46F7-B31D-9B26957BFF33}"/>
            </c:ext>
          </c:extLst>
        </c:ser>
        <c:ser>
          <c:idx val="4"/>
          <c:order val="4"/>
          <c:tx>
            <c:strRef>
              <c:f>'Markmiðareiknir (uppfært)'!$I$5</c:f>
              <c:strCache>
                <c:ptCount val="1"/>
                <c:pt idx="0">
                  <c:v>Heitt vatn</c:v>
                </c:pt>
              </c:strCache>
            </c:strRef>
          </c:tx>
          <c:spPr>
            <a:solidFill>
              <a:schemeClr val="accent4">
                <a:lumMod val="60000"/>
              </a:schemeClr>
            </a:solidFill>
            <a:ln>
              <a:noFill/>
            </a:ln>
            <a:effectLst/>
          </c:spPr>
          <c:invertIfNegative val="0"/>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(uppfært)'!$I$6:$I$21</c:f>
              <c:numCache>
                <c:formatCode>0.00</c:formatCode>
                <c:ptCount val="16"/>
                <c:pt idx="0">
                  <c:v>10</c:v>
                </c:pt>
                <c:pt idx="1">
                  <c:v>10</c:v>
                </c:pt>
                <c:pt idx="2">
                  <c:v>10</c:v>
                </c:pt>
                <c:pt idx="3">
                  <c:v>10</c:v>
                </c:pt>
                <c:pt idx="4">
                  <c:v>10</c:v>
                </c:pt>
                <c:pt idx="5">
                  <c:v>9.9</c:v>
                </c:pt>
                <c:pt idx="6">
                  <c:v>9.5</c:v>
                </c:pt>
                <c:pt idx="7">
                  <c:v>9.9</c:v>
                </c:pt>
                <c:pt idx="8">
                  <c:v>9.5</c:v>
                </c:pt>
                <c:pt idx="9">
                  <c:v>9.9</c:v>
                </c:pt>
                <c:pt idx="10">
                  <c:v>9.8175000000000008</c:v>
                </c:pt>
                <c:pt idx="11">
                  <c:v>9.7349999999999994</c:v>
                </c:pt>
                <c:pt idx="12">
                  <c:v>9.6524999999999999</c:v>
                </c:pt>
                <c:pt idx="13">
                  <c:v>9.57</c:v>
                </c:pt>
                <c:pt idx="14">
                  <c:v>9.4874999999999989</c:v>
                </c:pt>
                <c:pt idx="15">
                  <c:v>9.4049999999999994</c:v>
                </c:pt>
              </c:numCache>
            </c:numRef>
          </c:val>
          <c:extLst>
            <c:ext xmlns:c16="http://schemas.microsoft.com/office/drawing/2014/chart" uri="{C3380CC4-5D6E-409C-BE32-E72D297353CC}">
              <c16:uniqueId val="{00000004-6970-46F7-B31D-9B26957BFF33}"/>
            </c:ext>
          </c:extLst>
        </c:ser>
        <c:dLbls>
          <c:showLegendKey val="0"/>
          <c:showVal val="0"/>
          <c:showCatName val="0"/>
          <c:showSerName val="0"/>
          <c:showPercent val="0"/>
          <c:showBubbleSize val="0"/>
        </c:dLbls>
        <c:gapWidth val="150"/>
        <c:overlap val="100"/>
        <c:axId val="510008192"/>
        <c:axId val="510008848"/>
      </c:barChart>
      <c:lineChart>
        <c:grouping val="standard"/>
        <c:varyColors val="0"/>
        <c:ser>
          <c:idx val="5"/>
          <c:order val="5"/>
          <c:tx>
            <c:strRef>
              <c:f>'Markmiðareiknir (uppfært)'!$J$5</c:f>
              <c:strCache>
                <c:ptCount val="1"/>
                <c:pt idx="0">
                  <c:v>Markmið</c:v>
                </c:pt>
              </c:strCache>
            </c:strRef>
          </c:tx>
          <c:spPr>
            <a:ln w="28575" cap="rnd">
              <a:solidFill>
                <a:schemeClr val="accent6">
                  <a:lumMod val="60000"/>
                </a:schemeClr>
              </a:solidFill>
              <a:round/>
            </a:ln>
            <a:effectLst/>
          </c:spPr>
          <c:marker>
            <c:symbol val="none"/>
          </c:marker>
          <c:cat>
            <c:numRef>
              <c:f>'Markmiðareiknir (uppfært)'!$D$6:$D$21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'Markmiðareiknir (uppfært)'!$J$6:$J$21</c:f>
              <c:numCache>
                <c:formatCode>0.00</c:formatCode>
                <c:ptCount val="16"/>
                <c:pt idx="0">
                  <c:v>#N/A</c:v>
                </c:pt>
                <c:pt idx="1">
                  <c:v>#N/A</c:v>
                </c:pt>
                <c:pt idx="2">
                  <c:v>#N/A</c:v>
                </c:pt>
                <c:pt idx="3">
                  <c:v>#N/A</c:v>
                </c:pt>
                <c:pt idx="4">
                  <c:v>#N/A</c:v>
                </c:pt>
                <c:pt idx="5">
                  <c:v>#N/A</c:v>
                </c:pt>
                <c:pt idx="6">
                  <c:v>#N/A</c:v>
                </c:pt>
                <c:pt idx="7">
                  <c:v>#N/A</c:v>
                </c:pt>
                <c:pt idx="8">
                  <c:v>#N/A</c:v>
                </c:pt>
                <c:pt idx="9">
                  <c:v>142.89999999999998</c:v>
                </c:pt>
                <c:pt idx="10">
                  <c:v>130.28416666666666</c:v>
                </c:pt>
                <c:pt idx="11">
                  <c:v>117.66833333333332</c:v>
                </c:pt>
                <c:pt idx="12">
                  <c:v>105.05250000000001</c:v>
                </c:pt>
                <c:pt idx="13">
                  <c:v>92.436666666666667</c:v>
                </c:pt>
                <c:pt idx="14">
                  <c:v>79.820833333333354</c:v>
                </c:pt>
                <c:pt idx="15">
                  <c:v>67.205000000000013</c:v>
                </c:pt>
              </c:numCache>
            </c:numRef>
          </c:val>
          <c:smooth val="0"/>
          <c:extLst>
            <c:ext xmlns:c16="http://schemas.microsoft.com/office/drawing/2014/chart" uri="{C3380CC4-5D6E-409C-BE32-E72D297353CC}">
              <c16:uniqueId val="{00000005-6970-46F7-B31D-9B26957BFF33}"/>
            </c:ext>
          </c:extLst>
        </c:ser>
        <c:dLbls>
          <c:showLegendKey val="0"/>
          <c:showVal val="0"/>
          <c:showCatName val="0"/>
          <c:showSerName val="0"/>
          <c:showPercent val="0"/>
          <c:showBubbleSize val="0"/>
        </c:dLbls>
        <c:marker val="1"/>
        <c:smooth val="0"/>
        <c:axId val="510008192"/>
        <c:axId val="510008848"/>
      </c:lineChart>
      <c:catAx>
        <c:axId val="51000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510008848"/>
        <c:crosses val="autoZero"/>
        <c:auto val="1"/>
        <c:lblAlgn val="ctr"/>
        <c:lblOffset val="100"/>
        <c:noMultiLvlLbl val="0"/>
      </c:catAx>
      <c:valAx>
        <c:axId val="510008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Tonn</a:t>
                </a:r>
                <a:r>
                  <a:rPr lang="is-IS" baseline="0"/>
                  <a:t> CO</a:t>
                </a:r>
                <a:r>
                  <a:rPr lang="is-IS" baseline="-25000"/>
                  <a:t>2</a:t>
                </a:r>
                <a:r>
                  <a:rPr lang="is-IS" baseline="0"/>
                  <a:t>-íg á ársverk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s-I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510008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Losun frá 2015 og heildarmarkmið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stacked"/>
        <c:varyColors val="0"/>
        <c:ser>
          <c:idx val="0"/>
          <c:order val="0"/>
          <c:tx>
            <c:strRef>
              <c:f>'Eldri útgáfa'!$E$5</c:f>
              <c:strCache>
                <c:ptCount val="1"/>
                <c:pt idx="0">
                  <c:v>Akstur</c:v>
                </c:pt>
              </c:strCache>
            </c:strRef>
          </c:tx>
          <c:spPr>
            <a:solidFill>
              <a:schemeClr val="accent2"/>
            </a:solidFill>
            <a:ln>
              <a:noFill/>
            </a:ln>
            <a:effectLst/>
          </c:spPr>
          <c:invertIfNegative val="0"/>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útgáfa'!$E$6:$E$21</c:f>
              <c:numCache>
                <c:formatCode>0.00</c:formatCode>
                <c:ptCount val="16"/>
                <c:pt idx="0">
                  <c:v>40.5</c:v>
                </c:pt>
                <c:pt idx="1">
                  <c:v>52.5</c:v>
                </c:pt>
                <c:pt idx="2">
                  <c:v>76</c:v>
                </c:pt>
                <c:pt idx="3">
                  <c:v>78</c:v>
                </c:pt>
                <c:pt idx="4">
                  <c:v>126</c:v>
                </c:pt>
                <c:pt idx="5">
                  <c:v>118.5</c:v>
                </c:pt>
                <c:pt idx="6">
                  <c:v>131.321</c:v>
                </c:pt>
                <c:pt idx="7">
                  <c:v>118.5</c:v>
                </c:pt>
                <c:pt idx="8">
                  <c:v>131.321</c:v>
                </c:pt>
                <c:pt idx="9">
                  <c:v>118.5</c:v>
                </c:pt>
                <c:pt idx="10">
                  <c:v>52.974999999999994</c:v>
                </c:pt>
                <c:pt idx="11">
                  <c:v>49.4</c:v>
                </c:pt>
                <c:pt idx="12">
                  <c:v>45.824999999999996</c:v>
                </c:pt>
                <c:pt idx="13">
                  <c:v>42.25</c:v>
                </c:pt>
                <c:pt idx="14">
                  <c:v>38.675000000000004</c:v>
                </c:pt>
                <c:pt idx="15">
                  <c:v>35.099999999999994</c:v>
                </c:pt>
              </c:numCache>
            </c:numRef>
          </c:val>
          <c:extLst>
            <c:ext xmlns:c16="http://schemas.microsoft.com/office/drawing/2014/chart" uri="{C3380CC4-5D6E-409C-BE32-E72D297353CC}">
              <c16:uniqueId val="{00000000-53CC-44F8-AEF7-0467BED37336}"/>
            </c:ext>
          </c:extLst>
        </c:ser>
        <c:ser>
          <c:idx val="1"/>
          <c:order val="1"/>
          <c:tx>
            <c:strRef>
              <c:f>'Eldri útgáfa'!$F$5</c:f>
              <c:strCache>
                <c:ptCount val="1"/>
                <c:pt idx="0">
                  <c:v>Flug</c:v>
                </c:pt>
              </c:strCache>
            </c:strRef>
          </c:tx>
          <c:spPr>
            <a:solidFill>
              <a:schemeClr val="accent4"/>
            </a:solidFill>
            <a:ln>
              <a:noFill/>
            </a:ln>
            <a:effectLst/>
          </c:spPr>
          <c:invertIfNegative val="0"/>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útgáfa'!$F$6:$F$21</c:f>
              <c:numCache>
                <c:formatCode>0.00</c:formatCode>
                <c:ptCount val="16"/>
                <c:pt idx="0">
                  <c:v>45</c:v>
                </c:pt>
                <c:pt idx="1">
                  <c:v>64</c:v>
                </c:pt>
                <c:pt idx="2">
                  <c:v>76</c:v>
                </c:pt>
                <c:pt idx="3">
                  <c:v>79</c:v>
                </c:pt>
                <c:pt idx="4">
                  <c:v>71</c:v>
                </c:pt>
                <c:pt idx="5">
                  <c:v>12.6</c:v>
                </c:pt>
                <c:pt idx="6">
                  <c:v>12.143000000000001</c:v>
                </c:pt>
                <c:pt idx="7">
                  <c:v>12.6</c:v>
                </c:pt>
                <c:pt idx="8">
                  <c:v>12.143000000000001</c:v>
                </c:pt>
                <c:pt idx="9">
                  <c:v>12.6</c:v>
                </c:pt>
                <c:pt idx="10">
                  <c:v>65.174999999999997</c:v>
                </c:pt>
                <c:pt idx="11">
                  <c:v>63.199999999999996</c:v>
                </c:pt>
                <c:pt idx="12">
                  <c:v>61.224999999999994</c:v>
                </c:pt>
                <c:pt idx="13">
                  <c:v>59.25</c:v>
                </c:pt>
                <c:pt idx="14">
                  <c:v>57.274999999999991</c:v>
                </c:pt>
                <c:pt idx="15">
                  <c:v>55.3</c:v>
                </c:pt>
              </c:numCache>
            </c:numRef>
          </c:val>
          <c:extLst>
            <c:ext xmlns:c16="http://schemas.microsoft.com/office/drawing/2014/chart" uri="{C3380CC4-5D6E-409C-BE32-E72D297353CC}">
              <c16:uniqueId val="{00000001-53CC-44F8-AEF7-0467BED37336}"/>
            </c:ext>
          </c:extLst>
        </c:ser>
        <c:ser>
          <c:idx val="2"/>
          <c:order val="2"/>
          <c:tx>
            <c:strRef>
              <c:f>'Eldri útgáfa'!$G$5</c:f>
              <c:strCache>
                <c:ptCount val="1"/>
                <c:pt idx="0">
                  <c:v>Úrgangur</c:v>
                </c:pt>
              </c:strCache>
            </c:strRef>
          </c:tx>
          <c:spPr>
            <a:solidFill>
              <a:schemeClr val="accent6"/>
            </a:solidFill>
            <a:ln>
              <a:noFill/>
            </a:ln>
            <a:effectLst/>
          </c:spPr>
          <c:invertIfNegative val="0"/>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útgáfa'!$G$6:$G$21</c:f>
              <c:numCache>
                <c:formatCode>0.00</c:formatCode>
                <c:ptCount val="16"/>
                <c:pt idx="0">
                  <c:v>1.5</c:v>
                </c:pt>
                <c:pt idx="1">
                  <c:v>1.5</c:v>
                </c:pt>
                <c:pt idx="2">
                  <c:v>2</c:v>
                </c:pt>
                <c:pt idx="3">
                  <c:v>1.6</c:v>
                </c:pt>
                <c:pt idx="4">
                  <c:v>1.8</c:v>
                </c:pt>
                <c:pt idx="5">
                  <c:v>0.7</c:v>
                </c:pt>
                <c:pt idx="6">
                  <c:v>0.36199999999999999</c:v>
                </c:pt>
                <c:pt idx="7">
                  <c:v>0.7</c:v>
                </c:pt>
                <c:pt idx="8">
                  <c:v>0.36199999999999999</c:v>
                </c:pt>
                <c:pt idx="9">
                  <c:v>0.7</c:v>
                </c:pt>
                <c:pt idx="10">
                  <c:v>1.4133333333333336</c:v>
                </c:pt>
                <c:pt idx="11">
                  <c:v>1.3866666666666667</c:v>
                </c:pt>
                <c:pt idx="12">
                  <c:v>1.36</c:v>
                </c:pt>
                <c:pt idx="13">
                  <c:v>1.3333333333333335</c:v>
                </c:pt>
                <c:pt idx="14">
                  <c:v>1.3066666666666669</c:v>
                </c:pt>
                <c:pt idx="15">
                  <c:v>1.2800000000000002</c:v>
                </c:pt>
              </c:numCache>
            </c:numRef>
          </c:val>
          <c:extLst>
            <c:ext xmlns:c16="http://schemas.microsoft.com/office/drawing/2014/chart" uri="{C3380CC4-5D6E-409C-BE32-E72D297353CC}">
              <c16:uniqueId val="{00000002-53CC-44F8-AEF7-0467BED37336}"/>
            </c:ext>
          </c:extLst>
        </c:ser>
        <c:ser>
          <c:idx val="3"/>
          <c:order val="3"/>
          <c:tx>
            <c:strRef>
              <c:f>'Eldri útgáfa'!$H$5</c:f>
              <c:strCache>
                <c:ptCount val="1"/>
                <c:pt idx="0">
                  <c:v>Rafmagn</c:v>
                </c:pt>
              </c:strCache>
            </c:strRef>
          </c:tx>
          <c:spPr>
            <a:solidFill>
              <a:schemeClr val="accent2">
                <a:lumMod val="60000"/>
              </a:schemeClr>
            </a:solidFill>
            <a:ln>
              <a:noFill/>
            </a:ln>
            <a:effectLst/>
          </c:spPr>
          <c:invertIfNegative val="0"/>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útgáfa'!$H$6:$H$21</c:f>
              <c:numCache>
                <c:formatCode>0.00</c:formatCode>
                <c:ptCount val="16"/>
                <c:pt idx="0">
                  <c:v>1</c:v>
                </c:pt>
                <c:pt idx="1">
                  <c:v>1</c:v>
                </c:pt>
                <c:pt idx="2">
                  <c:v>1.2</c:v>
                </c:pt>
                <c:pt idx="3">
                  <c:v>0.7</c:v>
                </c:pt>
                <c:pt idx="4">
                  <c:v>0.9</c:v>
                </c:pt>
                <c:pt idx="5">
                  <c:v>1.2</c:v>
                </c:pt>
                <c:pt idx="6">
                  <c:v>0.91200000000000003</c:v>
                </c:pt>
                <c:pt idx="7">
                  <c:v>1.2</c:v>
                </c:pt>
                <c:pt idx="8">
                  <c:v>0.91200000000000003</c:v>
                </c:pt>
                <c:pt idx="9">
                  <c:v>1.2</c:v>
                </c:pt>
                <c:pt idx="10">
                  <c:v>0.61833333333333329</c:v>
                </c:pt>
                <c:pt idx="11">
                  <c:v>0.60666666666666658</c:v>
                </c:pt>
                <c:pt idx="12">
                  <c:v>0.59499999999999997</c:v>
                </c:pt>
                <c:pt idx="13">
                  <c:v>0.58333333333333326</c:v>
                </c:pt>
                <c:pt idx="14">
                  <c:v>0.57166666666666655</c:v>
                </c:pt>
                <c:pt idx="15">
                  <c:v>0.55999999999999994</c:v>
                </c:pt>
              </c:numCache>
            </c:numRef>
          </c:val>
          <c:extLst>
            <c:ext xmlns:c16="http://schemas.microsoft.com/office/drawing/2014/chart" uri="{C3380CC4-5D6E-409C-BE32-E72D297353CC}">
              <c16:uniqueId val="{00000003-53CC-44F8-AEF7-0467BED37336}"/>
            </c:ext>
          </c:extLst>
        </c:ser>
        <c:ser>
          <c:idx val="4"/>
          <c:order val="4"/>
          <c:tx>
            <c:strRef>
              <c:f>'Eldri útgáfa'!$I$5</c:f>
              <c:strCache>
                <c:ptCount val="1"/>
                <c:pt idx="0">
                  <c:v>Heitt vatn</c:v>
                </c:pt>
              </c:strCache>
            </c:strRef>
          </c:tx>
          <c:spPr>
            <a:solidFill>
              <a:schemeClr val="accent4">
                <a:lumMod val="60000"/>
              </a:schemeClr>
            </a:solidFill>
            <a:ln>
              <a:noFill/>
            </a:ln>
            <a:effectLst/>
          </c:spPr>
          <c:invertIfNegative val="0"/>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útgáfa'!$I$6:$I$21</c:f>
              <c:numCache>
                <c:formatCode>0.00</c:formatCode>
                <c:ptCount val="16"/>
                <c:pt idx="0">
                  <c:v>10</c:v>
                </c:pt>
                <c:pt idx="1">
                  <c:v>10</c:v>
                </c:pt>
                <c:pt idx="2">
                  <c:v>10</c:v>
                </c:pt>
                <c:pt idx="3">
                  <c:v>10</c:v>
                </c:pt>
                <c:pt idx="4">
                  <c:v>10</c:v>
                </c:pt>
                <c:pt idx="5">
                  <c:v>9.9</c:v>
                </c:pt>
                <c:pt idx="6">
                  <c:v>9.5</c:v>
                </c:pt>
                <c:pt idx="7">
                  <c:v>9.9</c:v>
                </c:pt>
                <c:pt idx="8">
                  <c:v>9.5</c:v>
                </c:pt>
                <c:pt idx="9">
                  <c:v>9.9</c:v>
                </c:pt>
                <c:pt idx="10">
                  <c:v>9.7083333333333339</c:v>
                </c:pt>
                <c:pt idx="11">
                  <c:v>9.6666666666666661</c:v>
                </c:pt>
                <c:pt idx="12">
                  <c:v>9.625</c:v>
                </c:pt>
                <c:pt idx="13">
                  <c:v>9.5833333333333339</c:v>
                </c:pt>
                <c:pt idx="14">
                  <c:v>9.5416666666666661</c:v>
                </c:pt>
                <c:pt idx="15">
                  <c:v>9.5</c:v>
                </c:pt>
              </c:numCache>
            </c:numRef>
          </c:val>
          <c:extLst>
            <c:ext xmlns:c16="http://schemas.microsoft.com/office/drawing/2014/chart" uri="{C3380CC4-5D6E-409C-BE32-E72D297353CC}">
              <c16:uniqueId val="{00000004-53CC-44F8-AEF7-0467BED37336}"/>
            </c:ext>
          </c:extLst>
        </c:ser>
        <c:dLbls>
          <c:showLegendKey val="0"/>
          <c:showVal val="0"/>
          <c:showCatName val="0"/>
          <c:showSerName val="0"/>
          <c:showPercent val="0"/>
          <c:showBubbleSize val="0"/>
        </c:dLbls>
        <c:gapWidth val="150"/>
        <c:overlap val="100"/>
        <c:axId val="510008192"/>
        <c:axId val="510008848"/>
      </c:barChart>
      <c:lineChart>
        <c:grouping val="standard"/>
        <c:varyColors val="0"/>
        <c:ser>
          <c:idx val="5"/>
          <c:order val="5"/>
          <c:tx>
            <c:strRef>
              <c:f>'Eldri útgáfa'!$J$5</c:f>
              <c:strCache>
                <c:ptCount val="1"/>
                <c:pt idx="0">
                  <c:v>Markmið</c:v>
                </c:pt>
              </c:strCache>
            </c:strRef>
          </c:tx>
          <c:spPr>
            <a:ln w="28575" cap="rnd">
              <a:solidFill>
                <a:schemeClr val="accent6">
                  <a:lumMod val="60000"/>
                </a:schemeClr>
              </a:solidFill>
              <a:round/>
            </a:ln>
            <a:effectLst/>
          </c:spPr>
          <c:marker>
            <c:symbol val="none"/>
          </c:marker>
          <c:cat>
            <c:numRef>
              <c:f>'Eldri útgáfa'!$D$6:$D$21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'Eldri útgáfa'!$J$6:$J$21</c:f>
              <c:numCache>
                <c:formatCode>0.00</c:formatCode>
                <c:ptCount val="16"/>
                <c:pt idx="0">
                  <c:v>#N/A</c:v>
                </c:pt>
                <c:pt idx="1">
                  <c:v>#N/A</c:v>
                </c:pt>
                <c:pt idx="2">
                  <c:v>#N/A</c:v>
                </c:pt>
                <c:pt idx="3">
                  <c:v>169.29999999999998</c:v>
                </c:pt>
                <c:pt idx="4">
                  <c:v>163.67000000000002</c:v>
                </c:pt>
                <c:pt idx="5">
                  <c:v>158.03999999999996</c:v>
                </c:pt>
                <c:pt idx="6">
                  <c:v>152.40999999999997</c:v>
                </c:pt>
                <c:pt idx="7">
                  <c:v>146.78</c:v>
                </c:pt>
                <c:pt idx="8">
                  <c:v>141.14999999999998</c:v>
                </c:pt>
                <c:pt idx="9">
                  <c:v>135.52000000000004</c:v>
                </c:pt>
                <c:pt idx="10">
                  <c:v>129.89000000000001</c:v>
                </c:pt>
                <c:pt idx="11">
                  <c:v>124.26</c:v>
                </c:pt>
                <c:pt idx="12">
                  <c:v>118.62999999999998</c:v>
                </c:pt>
                <c:pt idx="13">
                  <c:v>113</c:v>
                </c:pt>
                <c:pt idx="14">
                  <c:v>107.37</c:v>
                </c:pt>
                <c:pt idx="15">
                  <c:v>101.74</c:v>
                </c:pt>
              </c:numCache>
            </c:numRef>
          </c:val>
          <c:smooth val="0"/>
          <c:extLst>
            <c:ext xmlns:c16="http://schemas.microsoft.com/office/drawing/2014/chart" uri="{C3380CC4-5D6E-409C-BE32-E72D297353CC}">
              <c16:uniqueId val="{00000000-FC7D-49E8-AF76-9F2954C36A22}"/>
            </c:ext>
          </c:extLst>
        </c:ser>
        <c:dLbls>
          <c:showLegendKey val="0"/>
          <c:showVal val="0"/>
          <c:showCatName val="0"/>
          <c:showSerName val="0"/>
          <c:showPercent val="0"/>
          <c:showBubbleSize val="0"/>
        </c:dLbls>
        <c:marker val="1"/>
        <c:smooth val="0"/>
        <c:axId val="510008192"/>
        <c:axId val="510008848"/>
      </c:lineChart>
      <c:catAx>
        <c:axId val="51000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510008848"/>
        <c:crosses val="autoZero"/>
        <c:auto val="1"/>
        <c:lblAlgn val="ctr"/>
        <c:lblOffset val="100"/>
        <c:noMultiLvlLbl val="0"/>
      </c:catAx>
      <c:valAx>
        <c:axId val="510008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Tonn</a:t>
                </a:r>
                <a:r>
                  <a:rPr lang="is-IS" baseline="0"/>
                  <a:t> CO</a:t>
                </a:r>
                <a:r>
                  <a:rPr lang="is-IS" baseline="-25000"/>
                  <a:t>2</a:t>
                </a:r>
                <a:r>
                  <a:rPr lang="is-IS" baseline="0"/>
                  <a:t>-íg á ársverk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s-I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510008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219436</xdr:colOff>
      <xdr:row>38</xdr:row>
      <xdr:rowOff>82305</xdr:rowOff>
    </xdr:from>
    <xdr:to>
      <xdr:col>25</xdr:col>
      <xdr:colOff>760667</xdr:colOff>
      <xdr:row>54</xdr:row>
      <xdr:rowOff>126430</xdr:rowOff>
    </xdr:to>
    <xdr:graphicFrame macro="">
      <xdr:nvGraphicFramePr>
        <xdr:cNvPr id="2" name="Chart 1">
          <a:extLst>
            <a:ext uri="{FF2B5EF4-FFF2-40B4-BE49-F238E27FC236}">
              <a16:creationId xmlns:a16="http://schemas.microsoft.com/office/drawing/2014/main" id="{431A75F0-8113-45F1-A3BA-D54F7B8C1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219436</xdr:colOff>
      <xdr:row>38</xdr:row>
      <xdr:rowOff>82305</xdr:rowOff>
    </xdr:from>
    <xdr:to>
      <xdr:col>25</xdr:col>
      <xdr:colOff>760667</xdr:colOff>
      <xdr:row>54</xdr:row>
      <xdr:rowOff>126430</xdr:rowOff>
    </xdr:to>
    <xdr:graphicFrame macro="">
      <xdr:nvGraphicFramePr>
        <xdr:cNvPr id="2" name="Chart 1">
          <a:extLst>
            <a:ext uri="{FF2B5EF4-FFF2-40B4-BE49-F238E27FC236}">
              <a16:creationId xmlns:a16="http://schemas.microsoft.com/office/drawing/2014/main" id="{571336ED-F7EB-4B2C-9084-8C8A0B931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4BAA-9A99-4643-9B11-E5A37DCEC6A4}">
  <dimension ref="B1:AE83"/>
  <sheetViews>
    <sheetView tabSelected="1" zoomScale="70" zoomScaleNormal="70" workbookViewId="0">
      <selection activeCell="C41" sqref="C41:J49"/>
    </sheetView>
  </sheetViews>
  <sheetFormatPr defaultRowHeight="15" x14ac:dyDescent="0.25"/>
  <cols>
    <col min="4" max="4" width="13.7109375" style="1" customWidth="1"/>
    <col min="5" max="9" width="11.85546875" customWidth="1"/>
    <col min="10" max="12" width="11.5703125" customWidth="1"/>
    <col min="13" max="13" width="11.42578125" customWidth="1"/>
    <col min="14" max="15" width="12.42578125" customWidth="1"/>
    <col min="16" max="16" width="11.140625" customWidth="1"/>
    <col min="17" max="17" width="12.85546875" customWidth="1"/>
    <col min="18" max="19" width="13.42578125" customWidth="1"/>
    <col min="20" max="20" width="14.85546875" customWidth="1"/>
    <col min="21" max="22" width="8.7109375" customWidth="1"/>
    <col min="23" max="23" width="12.28515625" customWidth="1"/>
    <col min="24" max="24" width="13.42578125" customWidth="1"/>
    <col min="25" max="25" width="13" customWidth="1"/>
    <col min="26" max="27" width="12.5703125" customWidth="1"/>
    <col min="28" max="28" width="14.140625" customWidth="1"/>
  </cols>
  <sheetData>
    <row r="1" spans="2:31" ht="15.75" thickBot="1" x14ac:dyDescent="0.3"/>
    <row r="2" spans="2:31" ht="15.75" thickBot="1" x14ac:dyDescent="0.3">
      <c r="B2" s="37"/>
      <c r="C2" s="38"/>
      <c r="D2" s="39"/>
      <c r="E2" s="38"/>
      <c r="F2" s="38"/>
      <c r="G2" s="38"/>
      <c r="H2" s="38"/>
      <c r="I2" s="38"/>
      <c r="J2" s="38"/>
      <c r="K2" s="38"/>
      <c r="L2" s="38"/>
      <c r="M2" s="38"/>
      <c r="N2" s="38"/>
      <c r="O2" s="38"/>
      <c r="P2" s="38"/>
      <c r="Q2" s="38"/>
      <c r="R2" s="38"/>
      <c r="S2" s="38"/>
      <c r="T2" s="38"/>
      <c r="U2" s="38"/>
      <c r="V2" s="38"/>
      <c r="W2" s="38"/>
      <c r="X2" s="38"/>
      <c r="Y2" s="38"/>
      <c r="Z2" s="38"/>
      <c r="AA2" s="38"/>
      <c r="AB2" s="38"/>
      <c r="AC2" s="38"/>
      <c r="AD2" s="38"/>
      <c r="AE2" s="40"/>
    </row>
    <row r="3" spans="2:31" ht="38.450000000000003" customHeight="1" thickBot="1" x14ac:dyDescent="0.3">
      <c r="B3" s="41"/>
      <c r="C3" s="14"/>
      <c r="D3" s="83" t="s">
        <v>48</v>
      </c>
      <c r="E3" s="84"/>
      <c r="F3" s="84"/>
      <c r="G3" s="84"/>
      <c r="H3" s="84"/>
      <c r="I3" s="84"/>
      <c r="J3" s="84"/>
      <c r="K3" s="85"/>
      <c r="L3" s="85"/>
      <c r="M3" s="85"/>
      <c r="N3" s="86"/>
      <c r="O3" s="63"/>
      <c r="P3" s="14"/>
      <c r="Q3" s="14"/>
      <c r="R3" s="14"/>
      <c r="S3" s="14"/>
      <c r="T3" s="14"/>
      <c r="U3" s="14"/>
      <c r="V3" s="14"/>
      <c r="W3" s="14"/>
      <c r="X3" s="14"/>
      <c r="Y3" s="14"/>
      <c r="Z3" s="14"/>
      <c r="AA3" s="14"/>
      <c r="AB3" s="14"/>
      <c r="AC3" s="14"/>
      <c r="AD3" s="14"/>
      <c r="AE3" s="42"/>
    </row>
    <row r="4" spans="2:31" ht="15.95" customHeight="1" thickBot="1" x14ac:dyDescent="0.3">
      <c r="B4" s="41"/>
      <c r="C4" s="14"/>
      <c r="D4" s="15"/>
      <c r="E4" s="14"/>
      <c r="F4" s="14"/>
      <c r="G4" s="14"/>
      <c r="H4" s="14"/>
      <c r="I4" s="14"/>
      <c r="J4" s="14"/>
      <c r="K4" s="14"/>
      <c r="L4" s="14"/>
      <c r="M4" s="14"/>
      <c r="N4" s="14"/>
      <c r="O4" s="14"/>
      <c r="P4" s="14"/>
      <c r="Q4" s="14"/>
      <c r="R4" s="14"/>
      <c r="S4" s="14"/>
      <c r="T4" s="14"/>
      <c r="U4" s="14"/>
      <c r="V4" s="14"/>
      <c r="W4" s="14"/>
      <c r="X4" s="14"/>
      <c r="Y4" s="14"/>
      <c r="Z4" s="14"/>
      <c r="AA4" s="14"/>
      <c r="AB4" s="14"/>
      <c r="AC4" s="14"/>
      <c r="AD4" s="14"/>
      <c r="AE4" s="42"/>
    </row>
    <row r="5" spans="2:31" ht="60" customHeight="1" thickBot="1" x14ac:dyDescent="0.3">
      <c r="B5" s="41"/>
      <c r="C5" s="87" t="s">
        <v>0</v>
      </c>
      <c r="D5" s="53"/>
      <c r="E5" s="54" t="s">
        <v>1</v>
      </c>
      <c r="F5" s="54" t="s">
        <v>2</v>
      </c>
      <c r="G5" s="54" t="s">
        <v>3</v>
      </c>
      <c r="H5" s="54" t="s">
        <v>4</v>
      </c>
      <c r="I5" s="54" t="s">
        <v>36</v>
      </c>
      <c r="J5" s="55" t="s">
        <v>5</v>
      </c>
      <c r="K5" s="56" t="s">
        <v>6</v>
      </c>
      <c r="L5" s="57" t="s">
        <v>7</v>
      </c>
      <c r="M5" s="57" t="s">
        <v>8</v>
      </c>
      <c r="N5" s="57" t="s">
        <v>9</v>
      </c>
      <c r="O5" s="57" t="s">
        <v>41</v>
      </c>
      <c r="P5" s="58" t="s">
        <v>10</v>
      </c>
      <c r="Q5" s="14"/>
      <c r="R5" s="14"/>
      <c r="S5" s="14"/>
      <c r="T5" s="14"/>
      <c r="U5" s="14"/>
      <c r="V5" s="14"/>
      <c r="W5" s="14"/>
      <c r="X5" s="14"/>
      <c r="Y5" s="14"/>
      <c r="Z5" s="14"/>
      <c r="AA5" s="14"/>
      <c r="AB5" s="14"/>
      <c r="AC5" s="14"/>
      <c r="AD5" s="14"/>
      <c r="AE5" s="42"/>
    </row>
    <row r="6" spans="2:31" ht="15" customHeight="1" x14ac:dyDescent="0.25">
      <c r="B6" s="41"/>
      <c r="C6" s="88"/>
      <c r="D6" s="59">
        <v>2015</v>
      </c>
      <c r="E6" s="60">
        <v>40.5</v>
      </c>
      <c r="F6" s="60">
        <v>45</v>
      </c>
      <c r="G6" s="60">
        <v>1.5</v>
      </c>
      <c r="H6" s="60">
        <v>1</v>
      </c>
      <c r="I6" s="60">
        <v>10</v>
      </c>
      <c r="J6" s="50" t="e">
        <f>IF(D6&gt;=$D$40,VLOOKUP($D$40,$D$6:$I$15,2,FALSE)-ABS($D$40-D6)*$AB$14*VLOOKUP($D$40,$D$6:$I$15,2,FALSE)+VLOOKUP($D$40,$D$6:$I$15,3,FALSE)-ABS($D$40-D6)*$AB$15*VLOOKUP($D$40,$D$6:$I$15,3,FALSE)+VLOOKUP($D$40,$D$6:$I$15,4,FALSE)-ABS($D$40-D6)*$AB$16*VLOOKUP($D$40,$D$6:$I$15,4,FALSE)+VLOOKUP($D$40,$D$6:$I$15,5,FALSE)-ABS($D$40-D6)*$AB$17*VLOOKUP($D$40,$D$6:$I$15,5,FALSE),NA())</f>
        <v>#N/A</v>
      </c>
      <c r="K6" s="51" t="e">
        <f>IF(D6&gt;$D$40,1-E5/E6,NA())</f>
        <v>#N/A</v>
      </c>
      <c r="L6" s="51" t="e">
        <f t="shared" ref="L6" si="0">IF(D6&gt;$D$40,1-F5/F6,NA())</f>
        <v>#N/A</v>
      </c>
      <c r="M6" s="51" t="e">
        <f t="shared" ref="M6" si="1">IF(D6&gt;$D$40,1-G5/G6,NA())</f>
        <v>#N/A</v>
      </c>
      <c r="N6" s="51" t="e">
        <f>IF(D6&gt;$D$40,1-H5/H6,NA())</f>
        <v>#N/A</v>
      </c>
      <c r="O6" s="51" t="e">
        <f>IF(D6&gt;$D$40,1-I5/I6,NA())</f>
        <v>#N/A</v>
      </c>
      <c r="P6" s="52" t="e">
        <f t="shared" ref="P6" si="2">IF(D6&gt;$D$40,1-J5/J6,NA())</f>
        <v>#N/A</v>
      </c>
      <c r="Q6" s="14"/>
      <c r="R6" s="14"/>
      <c r="S6" s="14"/>
      <c r="T6" s="14"/>
      <c r="U6" s="14"/>
      <c r="V6" s="14"/>
      <c r="W6" s="90" t="s">
        <v>46</v>
      </c>
      <c r="X6" s="91"/>
      <c r="Y6" s="91"/>
      <c r="Z6" s="91"/>
      <c r="AA6" s="91"/>
      <c r="AB6" s="92"/>
      <c r="AC6" s="14"/>
      <c r="AD6" s="14"/>
      <c r="AE6" s="42"/>
    </row>
    <row r="7" spans="2:31" ht="15" customHeight="1" x14ac:dyDescent="0.25">
      <c r="B7" s="41"/>
      <c r="C7" s="88"/>
      <c r="D7" s="59">
        <v>2016</v>
      </c>
      <c r="E7" s="60">
        <v>52.5</v>
      </c>
      <c r="F7" s="60">
        <v>64</v>
      </c>
      <c r="G7" s="60">
        <v>1.5</v>
      </c>
      <c r="H7" s="60">
        <v>1</v>
      </c>
      <c r="I7" s="60">
        <v>10</v>
      </c>
      <c r="J7" s="50" t="e">
        <f>IF(D7&gt;=$D$40,VLOOKUP($D$40,$D$6:$I$15,2,FALSE)-ABS($D$40-D7)*$AB$14*VLOOKUP($D$40,$D$6:$I$15,2,FALSE)+VLOOKUP($D$40,$D$6:$I$15,3,FALSE)-ABS($D$40-D7)*$AB$15*VLOOKUP($D$40,$D$6:$I$15,3,FALSE)+VLOOKUP($D$40,$D$6:$I$15,4,FALSE)-ABS($D$40-D7)*$AB$16*VLOOKUP($D$40,$D$6:$I$15,4,FALSE)+VLOOKUP($D$40,$D$6:$I$15,5,FALSE)-ABS($D$40-D7)*$AB$17*VLOOKUP($D$40,$D$6:$I$15,5,FALSE),NA())</f>
        <v>#N/A</v>
      </c>
      <c r="K7" s="51">
        <f>1-E6/E7</f>
        <v>0.22857142857142854</v>
      </c>
      <c r="L7" s="51">
        <f t="shared" ref="L7:P21" si="3">1-F6/F7</f>
        <v>0.296875</v>
      </c>
      <c r="M7" s="51">
        <f t="shared" si="3"/>
        <v>0</v>
      </c>
      <c r="N7" s="51">
        <f t="shared" si="3"/>
        <v>0</v>
      </c>
      <c r="O7" s="51">
        <f t="shared" si="3"/>
        <v>0</v>
      </c>
      <c r="P7" s="52" t="e">
        <f>1-J6/J7</f>
        <v>#N/A</v>
      </c>
      <c r="Q7" s="14"/>
      <c r="R7" s="14"/>
      <c r="S7" s="14"/>
      <c r="T7" s="14"/>
      <c r="U7" s="14"/>
      <c r="V7" s="14"/>
      <c r="W7" s="93"/>
      <c r="X7" s="94"/>
      <c r="Y7" s="94"/>
      <c r="Z7" s="94"/>
      <c r="AA7" s="94"/>
      <c r="AB7" s="95"/>
      <c r="AC7" s="14"/>
      <c r="AD7" s="14"/>
      <c r="AE7" s="42"/>
    </row>
    <row r="8" spans="2:31" ht="15" customHeight="1" x14ac:dyDescent="0.25">
      <c r="B8" s="41"/>
      <c r="C8" s="88"/>
      <c r="D8" s="59">
        <v>2017</v>
      </c>
      <c r="E8" s="60">
        <v>76</v>
      </c>
      <c r="F8" s="60">
        <v>76</v>
      </c>
      <c r="G8" s="60">
        <v>2</v>
      </c>
      <c r="H8" s="60">
        <v>1.2</v>
      </c>
      <c r="I8" s="60">
        <v>10</v>
      </c>
      <c r="J8" s="50" t="e">
        <f>IF(D8&gt;=$D$40,VLOOKUP($D$40,$D$6:$I$15,2,FALSE)-ABS($D$40-D8)*$AB$14*VLOOKUP($D$40,$D$6:$I$15,2,FALSE)+VLOOKUP($D$40,$D$6:$I$15,3,FALSE)-ABS($D$40-D8)*$AB$15*VLOOKUP($D$40,$D$6:$I$15,3,FALSE)+VLOOKUP($D$40,$D$6:$I$15,4,FALSE)-ABS($D$40-D8)*$AB$16*VLOOKUP($D$40,$D$6:$I$15,4,FALSE)+VLOOKUP($D$40,$D$6:$I$15,5,FALSE)-ABS($D$40-D8)*$AB$17*VLOOKUP($D$40,$D$6:$I$15,5,FALSE),NA())</f>
        <v>#N/A</v>
      </c>
      <c r="K8" s="51">
        <f t="shared" ref="K8:K19" si="4">1-E7/E8</f>
        <v>0.30921052631578949</v>
      </c>
      <c r="L8" s="51">
        <f t="shared" si="3"/>
        <v>0.15789473684210531</v>
      </c>
      <c r="M8" s="51">
        <f t="shared" si="3"/>
        <v>0.25</v>
      </c>
      <c r="N8" s="51">
        <f t="shared" si="3"/>
        <v>0.16666666666666663</v>
      </c>
      <c r="O8" s="51">
        <f t="shared" si="3"/>
        <v>0</v>
      </c>
      <c r="P8" s="52" t="e">
        <f t="shared" si="3"/>
        <v>#N/A</v>
      </c>
      <c r="Q8" s="14"/>
      <c r="R8" s="14"/>
      <c r="S8" s="14"/>
      <c r="T8" s="14"/>
      <c r="U8" s="14"/>
      <c r="V8" s="14"/>
      <c r="W8" s="93"/>
      <c r="X8" s="94"/>
      <c r="Y8" s="94"/>
      <c r="Z8" s="94"/>
      <c r="AA8" s="94"/>
      <c r="AB8" s="95"/>
      <c r="AC8" s="14"/>
      <c r="AD8" s="14"/>
      <c r="AE8" s="42"/>
    </row>
    <row r="9" spans="2:31" ht="14.45" customHeight="1" x14ac:dyDescent="0.25">
      <c r="B9" s="41"/>
      <c r="C9" s="88"/>
      <c r="D9" s="59">
        <v>2018</v>
      </c>
      <c r="E9" s="60">
        <v>78</v>
      </c>
      <c r="F9" s="60">
        <v>79</v>
      </c>
      <c r="G9" s="60">
        <v>1.6</v>
      </c>
      <c r="H9" s="60">
        <v>0.7</v>
      </c>
      <c r="I9" s="60">
        <v>10</v>
      </c>
      <c r="J9" s="50" t="e">
        <f t="shared" ref="J9:J21" si="5">IF(D9&gt;=$D$40,VLOOKUP($D$40,$D$6:$I$15,2,FALSE)-ABS($D$40-D9)*$AB$14*VLOOKUP($D$40,$D$6:$I$15,2,FALSE)+VLOOKUP($D$40,$D$6:$I$15,3,FALSE)-ABS($D$40-D9)*$AB$15*VLOOKUP($D$40,$D$6:$I$15,3,FALSE)+VLOOKUP($D$40,$D$6:$I$15,4,FALSE)-ABS($D$40-D9)*$AB$16*VLOOKUP($D$40,$D$6:$I$15,4,FALSE)+VLOOKUP($D$40,$D$6:$I$15,5,FALSE)-ABS($D$40-D9)*$AB$17*VLOOKUP($D$40,$D$6:$I$15,5,FALSE)+VLOOKUP($D$40,$D$6:$I$15,6,FALSE)-ABS($D$40-D9)*$AB$18*VLOOKUP($D$40,$D$6:$I$15,6,FALSE),NA())</f>
        <v>#N/A</v>
      </c>
      <c r="K9" s="51">
        <f t="shared" si="4"/>
        <v>2.5641025641025661E-2</v>
      </c>
      <c r="L9" s="51">
        <f t="shared" si="3"/>
        <v>3.7974683544303778E-2</v>
      </c>
      <c r="M9" s="51">
        <f t="shared" si="3"/>
        <v>-0.25</v>
      </c>
      <c r="N9" s="51">
        <f t="shared" si="3"/>
        <v>-0.71428571428571441</v>
      </c>
      <c r="O9" s="51">
        <f t="shared" si="3"/>
        <v>0</v>
      </c>
      <c r="P9" s="52" t="e">
        <f t="shared" si="3"/>
        <v>#N/A</v>
      </c>
      <c r="Q9" s="14"/>
      <c r="R9" s="14"/>
      <c r="S9" s="14"/>
      <c r="T9" s="14"/>
      <c r="U9" s="14"/>
      <c r="V9" s="14"/>
      <c r="W9" s="93"/>
      <c r="X9" s="94"/>
      <c r="Y9" s="94"/>
      <c r="Z9" s="94"/>
      <c r="AA9" s="94"/>
      <c r="AB9" s="95"/>
      <c r="AC9" s="32"/>
      <c r="AD9" s="32"/>
      <c r="AE9" s="42"/>
    </row>
    <row r="10" spans="2:31" ht="15" customHeight="1" thickBot="1" x14ac:dyDescent="0.3">
      <c r="B10" s="41"/>
      <c r="C10" s="88"/>
      <c r="D10" s="59">
        <v>2019</v>
      </c>
      <c r="E10" s="60">
        <v>126</v>
      </c>
      <c r="F10" s="60">
        <v>71</v>
      </c>
      <c r="G10" s="60">
        <v>1.8</v>
      </c>
      <c r="H10" s="60">
        <v>0.9</v>
      </c>
      <c r="I10" s="60">
        <v>10</v>
      </c>
      <c r="J10" s="50" t="e">
        <f t="shared" si="5"/>
        <v>#N/A</v>
      </c>
      <c r="K10" s="51">
        <f t="shared" si="4"/>
        <v>0.38095238095238093</v>
      </c>
      <c r="L10" s="51">
        <f t="shared" si="3"/>
        <v>-0.11267605633802824</v>
      </c>
      <c r="M10" s="51">
        <f t="shared" si="3"/>
        <v>0.11111111111111105</v>
      </c>
      <c r="N10" s="51">
        <f t="shared" si="3"/>
        <v>0.22222222222222232</v>
      </c>
      <c r="O10" s="51">
        <f t="shared" si="3"/>
        <v>0</v>
      </c>
      <c r="P10" s="52" t="e">
        <f t="shared" si="3"/>
        <v>#N/A</v>
      </c>
      <c r="Q10" s="14"/>
      <c r="R10" s="14"/>
      <c r="S10" s="14"/>
      <c r="T10" s="14"/>
      <c r="U10" s="14"/>
      <c r="V10" s="32"/>
      <c r="W10" s="96"/>
      <c r="X10" s="97"/>
      <c r="Y10" s="97"/>
      <c r="Z10" s="97"/>
      <c r="AA10" s="97"/>
      <c r="AB10" s="98"/>
      <c r="AC10" s="33"/>
      <c r="AD10" s="33"/>
      <c r="AE10" s="42"/>
    </row>
    <row r="11" spans="2:31" ht="21.75" thickBot="1" x14ac:dyDescent="0.4">
      <c r="B11" s="41"/>
      <c r="C11" s="88"/>
      <c r="D11" s="59">
        <v>2020</v>
      </c>
      <c r="E11" s="60">
        <v>118.5</v>
      </c>
      <c r="F11" s="60">
        <v>12.6</v>
      </c>
      <c r="G11" s="60">
        <v>0.7</v>
      </c>
      <c r="H11" s="60">
        <v>1.2</v>
      </c>
      <c r="I11" s="60">
        <v>9.9</v>
      </c>
      <c r="J11" s="50" t="e">
        <f t="shared" si="5"/>
        <v>#N/A</v>
      </c>
      <c r="K11" s="51">
        <f t="shared" si="4"/>
        <v>-6.3291139240506222E-2</v>
      </c>
      <c r="L11" s="51">
        <f t="shared" si="3"/>
        <v>-4.6349206349206353</v>
      </c>
      <c r="M11" s="51">
        <f t="shared" si="3"/>
        <v>-1.5714285714285716</v>
      </c>
      <c r="N11" s="51">
        <f t="shared" si="3"/>
        <v>0.25</v>
      </c>
      <c r="O11" s="51">
        <f t="shared" si="3"/>
        <v>-1.0101010101010166E-2</v>
      </c>
      <c r="P11" s="52" t="e">
        <f t="shared" si="3"/>
        <v>#N/A</v>
      </c>
      <c r="Q11" s="14"/>
      <c r="R11" s="14"/>
      <c r="S11" s="14"/>
      <c r="T11" s="14"/>
      <c r="U11" s="14"/>
      <c r="V11" s="34"/>
      <c r="W11" s="2" t="s">
        <v>1</v>
      </c>
      <c r="X11" s="2" t="s">
        <v>2</v>
      </c>
      <c r="Y11" s="2" t="s">
        <v>3</v>
      </c>
      <c r="Z11" s="3" t="s">
        <v>4</v>
      </c>
      <c r="AA11" s="3" t="s">
        <v>36</v>
      </c>
      <c r="AB11" s="3" t="s">
        <v>12</v>
      </c>
      <c r="AC11" s="33"/>
      <c r="AD11" s="33"/>
      <c r="AE11" s="42"/>
    </row>
    <row r="12" spans="2:31" ht="21.75" thickBot="1" x14ac:dyDescent="0.4">
      <c r="B12" s="41"/>
      <c r="C12" s="88"/>
      <c r="D12" s="59">
        <v>2021</v>
      </c>
      <c r="E12" s="60">
        <v>131.321</v>
      </c>
      <c r="F12" s="60">
        <v>12.143000000000001</v>
      </c>
      <c r="G12" s="60">
        <v>0.36199999999999999</v>
      </c>
      <c r="H12" s="60">
        <v>0.91200000000000003</v>
      </c>
      <c r="I12" s="60">
        <v>9.5</v>
      </c>
      <c r="J12" s="50" t="e">
        <f t="shared" si="5"/>
        <v>#N/A</v>
      </c>
      <c r="K12" s="51">
        <f t="shared" si="4"/>
        <v>9.7630995804174447E-2</v>
      </c>
      <c r="L12" s="51">
        <f t="shared" si="3"/>
        <v>-3.7634851354689802E-2</v>
      </c>
      <c r="M12" s="51">
        <f t="shared" si="3"/>
        <v>-0.93370165745856348</v>
      </c>
      <c r="N12" s="51">
        <f t="shared" si="3"/>
        <v>-0.3157894736842104</v>
      </c>
      <c r="O12" s="51">
        <f t="shared" si="3"/>
        <v>-4.2105263157894868E-2</v>
      </c>
      <c r="P12" s="52" t="e">
        <f t="shared" si="3"/>
        <v>#N/A</v>
      </c>
      <c r="Q12" s="14"/>
      <c r="R12" s="14"/>
      <c r="S12" s="14"/>
      <c r="T12" s="14"/>
      <c r="U12" s="14"/>
      <c r="V12" s="34"/>
      <c r="W12" s="4">
        <f>AB14</f>
        <v>9.9999999999999992E-2</v>
      </c>
      <c r="X12" s="4">
        <f>AB15</f>
        <v>5.0000000000000017E-2</v>
      </c>
      <c r="Y12" s="4">
        <f>AB16</f>
        <v>3.333333333333334E-2</v>
      </c>
      <c r="Z12" s="5">
        <f>AB17</f>
        <v>2.4999999999999994E-2</v>
      </c>
      <c r="AA12" s="5">
        <f>AC17</f>
        <v>0</v>
      </c>
      <c r="AB12" s="6">
        <f>AB19</f>
        <v>8.8284348028924639E-2</v>
      </c>
      <c r="AC12" s="33"/>
      <c r="AD12" s="33"/>
      <c r="AE12" s="42"/>
    </row>
    <row r="13" spans="2:31" ht="15.75" x14ac:dyDescent="0.25">
      <c r="B13" s="41"/>
      <c r="C13" s="88"/>
      <c r="D13" s="59">
        <v>2022</v>
      </c>
      <c r="E13" s="60">
        <v>118.5</v>
      </c>
      <c r="F13" s="60">
        <v>12.6</v>
      </c>
      <c r="G13" s="60">
        <v>0.7</v>
      </c>
      <c r="H13" s="60">
        <v>1.2</v>
      </c>
      <c r="I13" s="60">
        <v>9.9</v>
      </c>
      <c r="J13" s="50" t="e">
        <f t="shared" si="5"/>
        <v>#N/A</v>
      </c>
      <c r="K13" s="51">
        <f t="shared" si="4"/>
        <v>-0.10819409282700421</v>
      </c>
      <c r="L13" s="51">
        <f t="shared" si="3"/>
        <v>3.626984126984123E-2</v>
      </c>
      <c r="M13" s="51">
        <f t="shared" si="3"/>
        <v>0.48285714285714287</v>
      </c>
      <c r="N13" s="51">
        <f t="shared" si="3"/>
        <v>0.24</v>
      </c>
      <c r="O13" s="51">
        <f t="shared" si="3"/>
        <v>4.0404040404040442E-2</v>
      </c>
      <c r="P13" s="52" t="e">
        <f t="shared" si="3"/>
        <v>#N/A</v>
      </c>
      <c r="Q13" s="14"/>
      <c r="R13" s="14"/>
      <c r="S13" s="14"/>
      <c r="T13" s="14"/>
      <c r="U13" s="14"/>
      <c r="V13" s="34"/>
      <c r="W13" s="16"/>
      <c r="X13" s="14"/>
      <c r="Y13" s="14"/>
      <c r="Z13" s="14"/>
      <c r="AA13" s="14"/>
      <c r="AB13" s="8"/>
      <c r="AC13" s="33"/>
      <c r="AD13" s="33"/>
      <c r="AE13" s="42"/>
    </row>
    <row r="14" spans="2:31" ht="15.75" x14ac:dyDescent="0.25">
      <c r="B14" s="41"/>
      <c r="C14" s="88"/>
      <c r="D14" s="59">
        <v>2023</v>
      </c>
      <c r="E14" s="60">
        <v>131.321</v>
      </c>
      <c r="F14" s="60">
        <v>12.143000000000001</v>
      </c>
      <c r="G14" s="60">
        <v>0.36199999999999999</v>
      </c>
      <c r="H14" s="60">
        <v>0.91200000000000003</v>
      </c>
      <c r="I14" s="60">
        <v>9.5</v>
      </c>
      <c r="J14" s="50" t="e">
        <f t="shared" si="5"/>
        <v>#N/A</v>
      </c>
      <c r="K14" s="51">
        <f t="shared" si="4"/>
        <v>9.7630995804174447E-2</v>
      </c>
      <c r="L14" s="51">
        <f t="shared" si="3"/>
        <v>-3.7634851354689802E-2</v>
      </c>
      <c r="M14" s="51">
        <f t="shared" si="3"/>
        <v>-0.93370165745856348</v>
      </c>
      <c r="N14" s="51">
        <f t="shared" si="3"/>
        <v>-0.3157894736842104</v>
      </c>
      <c r="O14" s="51">
        <f t="shared" si="3"/>
        <v>-4.2105263157894868E-2</v>
      </c>
      <c r="P14" s="52" t="e">
        <f t="shared" si="3"/>
        <v>#N/A</v>
      </c>
      <c r="Q14" s="14"/>
      <c r="R14" s="14"/>
      <c r="S14" s="14"/>
      <c r="T14" s="14"/>
      <c r="U14" s="14"/>
      <c r="V14" s="34"/>
      <c r="W14" s="17"/>
      <c r="X14" s="18"/>
      <c r="Y14" s="19"/>
      <c r="Z14" s="20" t="s">
        <v>13</v>
      </c>
      <c r="AA14" s="20"/>
      <c r="AB14" s="9">
        <f>(AB25-AB26)/AB25/(2030-D40)</f>
        <v>9.9999999999999992E-2</v>
      </c>
      <c r="AC14" s="33"/>
      <c r="AD14" s="33"/>
      <c r="AE14" s="42"/>
    </row>
    <row r="15" spans="2:31" ht="15.75" x14ac:dyDescent="0.25">
      <c r="B15" s="41"/>
      <c r="C15" s="88"/>
      <c r="D15" s="59">
        <v>2024</v>
      </c>
      <c r="E15" s="60">
        <v>118.5</v>
      </c>
      <c r="F15" s="60">
        <v>12.6</v>
      </c>
      <c r="G15" s="60">
        <v>0.7</v>
      </c>
      <c r="H15" s="60">
        <v>1.2</v>
      </c>
      <c r="I15" s="60">
        <v>9.9</v>
      </c>
      <c r="J15" s="50">
        <f t="shared" si="5"/>
        <v>142.89999999999998</v>
      </c>
      <c r="K15" s="51">
        <f t="shared" si="4"/>
        <v>-0.10819409282700421</v>
      </c>
      <c r="L15" s="51">
        <f t="shared" si="3"/>
        <v>3.626984126984123E-2</v>
      </c>
      <c r="M15" s="51">
        <f t="shared" si="3"/>
        <v>0.48285714285714287</v>
      </c>
      <c r="N15" s="51">
        <f t="shared" si="3"/>
        <v>0.24</v>
      </c>
      <c r="O15" s="51">
        <f t="shared" si="3"/>
        <v>4.0404040404040442E-2</v>
      </c>
      <c r="P15" s="52" t="e">
        <f t="shared" si="3"/>
        <v>#N/A</v>
      </c>
      <c r="Q15" s="14"/>
      <c r="R15" s="14"/>
      <c r="S15" s="14"/>
      <c r="T15" s="14"/>
      <c r="U15" s="14"/>
      <c r="V15" s="34"/>
      <c r="W15" s="17"/>
      <c r="X15" s="18"/>
      <c r="Y15" s="21"/>
      <c r="Z15" s="20" t="s">
        <v>14</v>
      </c>
      <c r="AA15" s="20"/>
      <c r="AB15" s="9">
        <f>(AB28-AB29)/AB28/(2030-D40)</f>
        <v>5.0000000000000017E-2</v>
      </c>
      <c r="AC15" s="33"/>
      <c r="AD15" s="33"/>
      <c r="AE15" s="42"/>
    </row>
    <row r="16" spans="2:31" ht="15.75" x14ac:dyDescent="0.25">
      <c r="B16" s="41"/>
      <c r="C16" s="88"/>
      <c r="D16" s="59">
        <v>2025</v>
      </c>
      <c r="E16" s="49">
        <f>IF(D16&gt;=$D$40,VLOOKUP($D$40,$D$6:$I$15,2,FALSE)-ABS($D$40-D16)*$AB$14*VLOOKUP($D$40,$D$6:$I$15,2,FALSE),NA())</f>
        <v>106.65</v>
      </c>
      <c r="F16" s="49">
        <f>IF(D16&gt;=$D$40,VLOOKUP($D$40,$D$6:$I$15,3,FALSE)-ABS($D$40-D16)*$AB$15*VLOOKUP($D$40,$D$6:$I$15,3,FALSE),NA())</f>
        <v>11.969999999999999</v>
      </c>
      <c r="G16" s="49">
        <f>IF(D16&gt;=$D$40,VLOOKUP($D$40,$D$6:$I$15,4,FALSE)-ABS($D$40-D16)*$AB$16*VLOOKUP($D$40,$D$6:$I$15,4,FALSE),NA())</f>
        <v>0.67666666666666664</v>
      </c>
      <c r="H16" s="49">
        <f>IF(D16&gt;=$D$40,VLOOKUP($D$40,$D$6:$I$15,5,FALSE)-ABS($D$40-D16)*$AB$17*VLOOKUP($D$40,$D$6:$I$15,5,FALSE),NA())</f>
        <v>1.17</v>
      </c>
      <c r="I16" s="49">
        <f>IF(D16&gt;=$D$40,VLOOKUP($D$40,$D$6:$I$15,6,FALSE)-ABS($D$40-D16)*$AB$18*VLOOKUP($D$40,$D$6:$I$15,6,FALSE),NA())</f>
        <v>9.8175000000000008</v>
      </c>
      <c r="J16" s="50">
        <f t="shared" si="5"/>
        <v>130.28416666666666</v>
      </c>
      <c r="K16" s="51">
        <f t="shared" si="4"/>
        <v>-0.11111111111111116</v>
      </c>
      <c r="L16" s="51">
        <f t="shared" si="3"/>
        <v>-5.2631578947368585E-2</v>
      </c>
      <c r="M16" s="51">
        <f t="shared" si="3"/>
        <v>-3.4482758620689724E-2</v>
      </c>
      <c r="N16" s="51">
        <f t="shared" si="3"/>
        <v>-2.5641025641025772E-2</v>
      </c>
      <c r="O16" s="51">
        <f t="shared" si="3"/>
        <v>-8.4033613445377853E-3</v>
      </c>
      <c r="P16" s="52">
        <f t="shared" si="3"/>
        <v>-9.6833204341791212E-2</v>
      </c>
      <c r="Q16" s="14"/>
      <c r="R16" s="14"/>
      <c r="S16" s="14"/>
      <c r="T16" s="14"/>
      <c r="U16" s="14"/>
      <c r="V16" s="34"/>
      <c r="W16" s="17"/>
      <c r="X16" s="18"/>
      <c r="Y16" s="21"/>
      <c r="Z16" s="20" t="s">
        <v>15</v>
      </c>
      <c r="AA16" s="20"/>
      <c r="AB16" s="9">
        <f>(AB31-AB32)/AB31/(2030-D40)</f>
        <v>3.333333333333334E-2</v>
      </c>
      <c r="AC16" s="33"/>
      <c r="AD16" s="33"/>
      <c r="AE16" s="42"/>
    </row>
    <row r="17" spans="2:31" ht="15.75" x14ac:dyDescent="0.25">
      <c r="B17" s="41"/>
      <c r="C17" s="88"/>
      <c r="D17" s="59">
        <v>2026</v>
      </c>
      <c r="E17" s="49">
        <f t="shared" ref="E17:E21" si="6">IF(D17&gt;=$D$40,VLOOKUP($D$40,$D$6:$I$15,2,FALSE)-ABS($D$40-D17)*$AB$14*VLOOKUP($D$40,$D$6:$I$15,2,FALSE),NA())</f>
        <v>94.8</v>
      </c>
      <c r="F17" s="49">
        <f t="shared" ref="F17:F21" si="7">IF(D17&gt;=$D$40,VLOOKUP($D$40,$D$6:$I$15,3,FALSE)-ABS($D$40-D17)*$AB$15*VLOOKUP($D$40,$D$6:$I$15,3,FALSE),NA())</f>
        <v>11.34</v>
      </c>
      <c r="G17" s="49">
        <f t="shared" ref="G17:G21" si="8">IF(D17&gt;=$D$40,VLOOKUP($D$40,$D$6:$I$15,4,FALSE)-ABS($D$40-D17)*$AB$16*VLOOKUP($D$40,$D$6:$I$15,4,FALSE),NA())</f>
        <v>0.65333333333333332</v>
      </c>
      <c r="H17" s="49">
        <f t="shared" ref="H17:H21" si="9">IF(D17&gt;=$D$40,VLOOKUP($D$40,$D$6:$I$15,5,FALSE)-ABS($D$40-D17)*$AB$17*VLOOKUP($D$40,$D$6:$I$15,5,FALSE),NA())</f>
        <v>1.1399999999999999</v>
      </c>
      <c r="I17" s="49">
        <f t="shared" ref="I17:I20" si="10">IF(D17&gt;=$D$40,VLOOKUP($D$40,$D$6:$I$15,6,FALSE)-ABS($D$40-D17)*$AB$18*VLOOKUP($D$40,$D$6:$I$15,6,FALSE),NA())</f>
        <v>9.7349999999999994</v>
      </c>
      <c r="J17" s="50">
        <f t="shared" si="5"/>
        <v>117.66833333333332</v>
      </c>
      <c r="K17" s="51">
        <f t="shared" si="4"/>
        <v>-0.125</v>
      </c>
      <c r="L17" s="51">
        <f t="shared" si="3"/>
        <v>-5.5555555555555358E-2</v>
      </c>
      <c r="M17" s="51">
        <f t="shared" si="3"/>
        <v>-3.5714285714285587E-2</v>
      </c>
      <c r="N17" s="51">
        <f t="shared" si="3"/>
        <v>-2.6315789473684292E-2</v>
      </c>
      <c r="O17" s="51">
        <f t="shared" si="3"/>
        <v>-8.4745762711866401E-3</v>
      </c>
      <c r="P17" s="52">
        <f t="shared" si="3"/>
        <v>-0.10721519525219203</v>
      </c>
      <c r="Q17" s="14"/>
      <c r="R17" s="14"/>
      <c r="S17" s="14"/>
      <c r="T17" s="14"/>
      <c r="U17" s="14"/>
      <c r="V17" s="34"/>
      <c r="W17" s="17"/>
      <c r="X17" s="18"/>
      <c r="Y17" s="21"/>
      <c r="Z17" s="20" t="s">
        <v>16</v>
      </c>
      <c r="AA17" s="20"/>
      <c r="AB17" s="9">
        <f>(AB34-AB35)/AB34/(2030-D40)</f>
        <v>2.4999999999999994E-2</v>
      </c>
      <c r="AC17" s="33"/>
      <c r="AD17" s="33"/>
      <c r="AE17" s="42"/>
    </row>
    <row r="18" spans="2:31" ht="15.75" x14ac:dyDescent="0.25">
      <c r="B18" s="41"/>
      <c r="C18" s="88"/>
      <c r="D18" s="59">
        <v>2027</v>
      </c>
      <c r="E18" s="49">
        <f t="shared" si="6"/>
        <v>82.95</v>
      </c>
      <c r="F18" s="49">
        <f t="shared" si="7"/>
        <v>10.709999999999999</v>
      </c>
      <c r="G18" s="49">
        <f t="shared" si="8"/>
        <v>0.62999999999999989</v>
      </c>
      <c r="H18" s="49">
        <f t="shared" si="9"/>
        <v>1.1099999999999999</v>
      </c>
      <c r="I18" s="49">
        <f t="shared" si="10"/>
        <v>9.6524999999999999</v>
      </c>
      <c r="J18" s="50">
        <f t="shared" si="5"/>
        <v>105.05250000000001</v>
      </c>
      <c r="K18" s="51">
        <f t="shared" si="4"/>
        <v>-0.14285714285714279</v>
      </c>
      <c r="L18" s="51">
        <f t="shared" si="3"/>
        <v>-5.8823529411764719E-2</v>
      </c>
      <c r="M18" s="51">
        <f t="shared" si="3"/>
        <v>-3.7037037037037202E-2</v>
      </c>
      <c r="N18" s="51">
        <f t="shared" si="3"/>
        <v>-2.7027027027026973E-2</v>
      </c>
      <c r="O18" s="51">
        <f t="shared" si="3"/>
        <v>-8.5470085470085166E-3</v>
      </c>
      <c r="P18" s="52">
        <f t="shared" si="3"/>
        <v>-0.12009074827665511</v>
      </c>
      <c r="Q18" s="14"/>
      <c r="R18" s="14"/>
      <c r="S18" s="14"/>
      <c r="T18" s="14"/>
      <c r="U18" s="14"/>
      <c r="V18" s="34"/>
      <c r="W18" s="17"/>
      <c r="X18" s="18"/>
      <c r="Y18" s="21"/>
      <c r="Z18" s="20" t="s">
        <v>37</v>
      </c>
      <c r="AA18" s="20"/>
      <c r="AB18" s="9">
        <f>(AB37-AB38)/AB37/(2030-D40)</f>
        <v>8.3333333333333506E-3</v>
      </c>
      <c r="AC18" s="33"/>
      <c r="AD18" s="33"/>
      <c r="AE18" s="42"/>
    </row>
    <row r="19" spans="2:31" ht="15.75" x14ac:dyDescent="0.25">
      <c r="B19" s="41"/>
      <c r="C19" s="88"/>
      <c r="D19" s="59">
        <v>2028</v>
      </c>
      <c r="E19" s="49">
        <f t="shared" si="6"/>
        <v>71.099999999999994</v>
      </c>
      <c r="F19" s="49">
        <f t="shared" si="7"/>
        <v>10.079999999999998</v>
      </c>
      <c r="G19" s="49">
        <f t="shared" si="8"/>
        <v>0.60666666666666658</v>
      </c>
      <c r="H19" s="49">
        <f t="shared" si="9"/>
        <v>1.08</v>
      </c>
      <c r="I19" s="49">
        <f t="shared" si="10"/>
        <v>9.57</v>
      </c>
      <c r="J19" s="50">
        <f t="shared" si="5"/>
        <v>92.436666666666667</v>
      </c>
      <c r="K19" s="51">
        <f t="shared" si="4"/>
        <v>-0.16666666666666674</v>
      </c>
      <c r="L19" s="51">
        <f t="shared" si="3"/>
        <v>-6.25E-2</v>
      </c>
      <c r="M19" s="51">
        <f t="shared" si="3"/>
        <v>-3.8461538461538547E-2</v>
      </c>
      <c r="N19" s="51">
        <f t="shared" si="3"/>
        <v>-2.7777777777777679E-2</v>
      </c>
      <c r="O19" s="51">
        <f t="shared" si="3"/>
        <v>-8.6206896551723755E-3</v>
      </c>
      <c r="P19" s="52">
        <f t="shared" si="3"/>
        <v>-0.13648083372399133</v>
      </c>
      <c r="Q19" s="14"/>
      <c r="R19" s="14"/>
      <c r="S19" s="14"/>
      <c r="T19" s="14"/>
      <c r="U19" s="14"/>
      <c r="V19" s="34"/>
      <c r="W19" s="17"/>
      <c r="X19" s="18"/>
      <c r="Y19" s="21"/>
      <c r="Z19" s="20" t="s">
        <v>17</v>
      </c>
      <c r="AA19" s="20"/>
      <c r="AB19" s="9">
        <f>(AB22-AB23)/AB22/(2030-D40)</f>
        <v>8.8284348028924639E-2</v>
      </c>
      <c r="AC19" s="33"/>
      <c r="AD19" s="33"/>
      <c r="AE19" s="42"/>
    </row>
    <row r="20" spans="2:31" ht="15.75" x14ac:dyDescent="0.25">
      <c r="B20" s="41"/>
      <c r="C20" s="88"/>
      <c r="D20" s="59">
        <v>2029</v>
      </c>
      <c r="E20" s="49">
        <f t="shared" si="6"/>
        <v>59.250000000000007</v>
      </c>
      <c r="F20" s="49">
        <f t="shared" si="7"/>
        <v>9.4499999999999993</v>
      </c>
      <c r="G20" s="49">
        <f t="shared" si="8"/>
        <v>0.58333333333333326</v>
      </c>
      <c r="H20" s="49">
        <f t="shared" si="9"/>
        <v>1.05</v>
      </c>
      <c r="I20" s="49">
        <f t="shared" si="10"/>
        <v>9.4874999999999989</v>
      </c>
      <c r="J20" s="50">
        <f t="shared" si="5"/>
        <v>79.820833333333354</v>
      </c>
      <c r="K20" s="51">
        <f>1-E19/E20</f>
        <v>-0.19999999999999973</v>
      </c>
      <c r="L20" s="51">
        <f t="shared" si="3"/>
        <v>-6.6666666666666652E-2</v>
      </c>
      <c r="M20" s="51">
        <f t="shared" si="3"/>
        <v>-4.0000000000000036E-2</v>
      </c>
      <c r="N20" s="51">
        <f t="shared" si="3"/>
        <v>-2.8571428571428692E-2</v>
      </c>
      <c r="O20" s="51">
        <f t="shared" si="3"/>
        <v>-8.6956521739132153E-3</v>
      </c>
      <c r="P20" s="52">
        <f t="shared" si="3"/>
        <v>-0.15805188703868001</v>
      </c>
      <c r="Q20" s="14"/>
      <c r="R20" s="14"/>
      <c r="S20" s="14"/>
      <c r="T20" s="14"/>
      <c r="U20" s="14"/>
      <c r="V20" s="34"/>
      <c r="W20" s="17"/>
      <c r="X20" s="18"/>
      <c r="Y20" s="21"/>
      <c r="Z20" s="22"/>
      <c r="AA20" s="22"/>
      <c r="AB20" s="31"/>
      <c r="AC20" s="33"/>
      <c r="AD20" s="33"/>
      <c r="AE20" s="42"/>
    </row>
    <row r="21" spans="2:31" ht="14.1" customHeight="1" thickBot="1" x14ac:dyDescent="0.3">
      <c r="B21" s="41"/>
      <c r="C21" s="89"/>
      <c r="D21" s="59">
        <v>2030</v>
      </c>
      <c r="E21" s="49">
        <f t="shared" si="6"/>
        <v>47.400000000000006</v>
      </c>
      <c r="F21" s="49">
        <f t="shared" si="7"/>
        <v>8.8199999999999985</v>
      </c>
      <c r="G21" s="49">
        <f t="shared" si="8"/>
        <v>0.55999999999999994</v>
      </c>
      <c r="H21" s="49">
        <f t="shared" si="9"/>
        <v>1.02</v>
      </c>
      <c r="I21" s="49">
        <f>IF(D21&gt;=$D$40,VLOOKUP($D$40,$D$6:$I$15,6,FALSE)-ABS($D$40-D21)*$AB$18*VLOOKUP($D$40,$D$6:$I$15,6,FALSE),NA())</f>
        <v>9.4049999999999994</v>
      </c>
      <c r="J21" s="50">
        <f t="shared" si="5"/>
        <v>67.205000000000013</v>
      </c>
      <c r="K21" s="51">
        <f t="shared" ref="K21" si="11">1-E20/E21</f>
        <v>-0.25</v>
      </c>
      <c r="L21" s="51">
        <f t="shared" si="3"/>
        <v>-7.1428571428571619E-2</v>
      </c>
      <c r="M21" s="51">
        <f t="shared" si="3"/>
        <v>-4.1666666666666741E-2</v>
      </c>
      <c r="N21" s="51">
        <f t="shared" si="3"/>
        <v>-2.941176470588247E-2</v>
      </c>
      <c r="O21" s="51">
        <f t="shared" si="3"/>
        <v>-8.7719298245614308E-3</v>
      </c>
      <c r="P21" s="52">
        <f t="shared" si="3"/>
        <v>-0.18772164769486399</v>
      </c>
      <c r="Q21" s="14"/>
      <c r="R21" s="14"/>
      <c r="S21" s="14"/>
      <c r="T21" s="14"/>
      <c r="U21" s="14"/>
      <c r="V21" s="34"/>
      <c r="W21" s="17"/>
      <c r="X21" s="18"/>
      <c r="Y21" s="21"/>
      <c r="Z21" s="22"/>
      <c r="AA21" s="22"/>
      <c r="AB21" s="31"/>
      <c r="AC21" s="33"/>
      <c r="AD21" s="33"/>
      <c r="AE21" s="42"/>
    </row>
    <row r="22" spans="2:31" ht="15" customHeight="1" x14ac:dyDescent="0.25">
      <c r="B22" s="41"/>
      <c r="C22" s="64" t="s">
        <v>47</v>
      </c>
      <c r="D22" s="65"/>
      <c r="E22" s="65"/>
      <c r="F22" s="65"/>
      <c r="G22" s="65"/>
      <c r="H22" s="65"/>
      <c r="I22" s="65"/>
      <c r="J22" s="65"/>
      <c r="K22" s="65"/>
      <c r="L22" s="65"/>
      <c r="M22" s="65"/>
      <c r="N22" s="65"/>
      <c r="O22" s="65"/>
      <c r="P22" s="99"/>
      <c r="Q22" s="14"/>
      <c r="R22" s="14"/>
      <c r="S22" s="14"/>
      <c r="T22" s="14"/>
      <c r="U22" s="14"/>
      <c r="V22" s="35"/>
      <c r="W22" s="17"/>
      <c r="X22" s="18"/>
      <c r="Y22" s="21"/>
      <c r="Z22" s="20" t="s">
        <v>18</v>
      </c>
      <c r="AA22" s="20"/>
      <c r="AB22" s="10">
        <f>VLOOKUP(D40,D6:I15,2,FALSE) + VLOOKUP(D40,D6:I15,3,FALSE) + VLOOKUP(D40,D6:I15,4,FALSE) + VLOOKUP(D40,D6:I15,5,FALSE) + VLOOKUP(D40,D6:I15,6,FALSE)</f>
        <v>142.89999999999998</v>
      </c>
      <c r="AC22" s="14"/>
      <c r="AD22" s="14"/>
      <c r="AE22" s="42"/>
    </row>
    <row r="23" spans="2:31" ht="15" customHeight="1" x14ac:dyDescent="0.25">
      <c r="B23" s="41"/>
      <c r="C23" s="100"/>
      <c r="D23" s="101"/>
      <c r="E23" s="101"/>
      <c r="F23" s="101"/>
      <c r="G23" s="101"/>
      <c r="H23" s="101"/>
      <c r="I23" s="101"/>
      <c r="J23" s="101"/>
      <c r="K23" s="101"/>
      <c r="L23" s="101"/>
      <c r="M23" s="101"/>
      <c r="N23" s="101"/>
      <c r="O23" s="101"/>
      <c r="P23" s="102"/>
      <c r="Q23" s="14"/>
      <c r="R23" s="14"/>
      <c r="S23" s="14"/>
      <c r="T23" s="14"/>
      <c r="U23" s="14"/>
      <c r="V23" s="35"/>
      <c r="W23" s="17"/>
      <c r="X23" s="18"/>
      <c r="Y23" s="21"/>
      <c r="Z23" s="20" t="s">
        <v>19</v>
      </c>
      <c r="AA23" s="20"/>
      <c r="AB23" s="10">
        <f>AB26+AB29+AB32+AB35+AB38</f>
        <v>67.205000000000013</v>
      </c>
      <c r="AC23" s="14"/>
      <c r="AD23" s="14"/>
      <c r="AE23" s="42"/>
    </row>
    <row r="24" spans="2:31" x14ac:dyDescent="0.25">
      <c r="B24" s="41"/>
      <c r="C24" s="103"/>
      <c r="D24" s="104"/>
      <c r="E24" s="104"/>
      <c r="F24" s="104"/>
      <c r="G24" s="104"/>
      <c r="H24" s="104"/>
      <c r="I24" s="104"/>
      <c r="J24" s="104"/>
      <c r="K24" s="104"/>
      <c r="L24" s="104"/>
      <c r="M24" s="104"/>
      <c r="N24" s="104"/>
      <c r="O24" s="104"/>
      <c r="P24" s="105"/>
      <c r="Q24" s="14"/>
      <c r="R24" s="14"/>
      <c r="S24" s="14"/>
      <c r="T24" s="14"/>
      <c r="U24" s="14"/>
      <c r="V24" s="35"/>
      <c r="W24" s="23"/>
      <c r="X24" s="18"/>
      <c r="Y24" s="21"/>
      <c r="Z24" s="20"/>
      <c r="AA24" s="20"/>
      <c r="AB24" s="11"/>
      <c r="AC24" s="14"/>
      <c r="AD24" s="14"/>
      <c r="AE24" s="42"/>
    </row>
    <row r="25" spans="2:31" ht="15.75" thickBot="1" x14ac:dyDescent="0.3">
      <c r="B25" s="41"/>
      <c r="C25" s="106"/>
      <c r="D25" s="107"/>
      <c r="E25" s="107"/>
      <c r="F25" s="107"/>
      <c r="G25" s="107"/>
      <c r="H25" s="107"/>
      <c r="I25" s="107"/>
      <c r="J25" s="107"/>
      <c r="K25" s="107"/>
      <c r="L25" s="107"/>
      <c r="M25" s="107"/>
      <c r="N25" s="107"/>
      <c r="O25" s="107"/>
      <c r="P25" s="108"/>
      <c r="Q25" s="14"/>
      <c r="R25" s="14"/>
      <c r="S25" s="14"/>
      <c r="T25" s="14"/>
      <c r="U25" s="32"/>
      <c r="V25" s="32"/>
      <c r="W25" s="23"/>
      <c r="X25" s="18"/>
      <c r="Y25" s="21"/>
      <c r="Z25" s="20" t="s">
        <v>20</v>
      </c>
      <c r="AA25" s="20"/>
      <c r="AB25" s="10">
        <f>VLOOKUP(D40,D6:I15,2,FALSE)</f>
        <v>118.5</v>
      </c>
      <c r="AC25" s="14"/>
      <c r="AD25" s="14"/>
      <c r="AE25" s="42"/>
    </row>
    <row r="26" spans="2:31" x14ac:dyDescent="0.25">
      <c r="B26" s="41"/>
      <c r="C26" s="14"/>
      <c r="D26" s="36"/>
      <c r="E26" s="14"/>
      <c r="F26" s="14"/>
      <c r="G26" s="14"/>
      <c r="H26" s="14"/>
      <c r="I26" s="14"/>
      <c r="J26" s="14"/>
      <c r="K26" s="14"/>
      <c r="L26" s="14"/>
      <c r="M26" s="14"/>
      <c r="N26" s="14"/>
      <c r="O26" s="14"/>
      <c r="P26" s="14"/>
      <c r="Q26" s="14"/>
      <c r="R26" s="14"/>
      <c r="S26" s="14"/>
      <c r="T26" s="14"/>
      <c r="U26" s="14"/>
      <c r="V26" s="14"/>
      <c r="W26" s="23"/>
      <c r="X26" s="18"/>
      <c r="Y26" s="21"/>
      <c r="Z26" s="20" t="s">
        <v>21</v>
      </c>
      <c r="AA26" s="20"/>
      <c r="AB26" s="10">
        <f>(1-E40)*AB25</f>
        <v>47.400000000000006</v>
      </c>
      <c r="AC26" s="14"/>
      <c r="AD26" s="14"/>
      <c r="AE26" s="42"/>
    </row>
    <row r="27" spans="2:31" x14ac:dyDescent="0.25">
      <c r="B27" s="41"/>
      <c r="C27" s="14"/>
      <c r="D27" s="36"/>
      <c r="E27" s="14"/>
      <c r="F27" s="14"/>
      <c r="G27" s="14"/>
      <c r="H27" s="14"/>
      <c r="I27" s="14"/>
      <c r="J27" s="14"/>
      <c r="K27" s="14"/>
      <c r="L27" s="14"/>
      <c r="M27" s="14"/>
      <c r="N27" s="14"/>
      <c r="O27" s="14"/>
      <c r="P27" s="14"/>
      <c r="Q27" s="14"/>
      <c r="R27" s="14"/>
      <c r="S27" s="14"/>
      <c r="T27" s="14"/>
      <c r="U27" s="14"/>
      <c r="V27" s="14"/>
      <c r="W27" s="24"/>
      <c r="X27" s="25"/>
      <c r="Y27" s="26"/>
      <c r="Z27" s="20"/>
      <c r="AA27" s="20"/>
      <c r="AB27" s="11"/>
      <c r="AC27" s="14"/>
      <c r="AD27" s="14"/>
      <c r="AE27" s="42"/>
    </row>
    <row r="28" spans="2:31" x14ac:dyDescent="0.25">
      <c r="B28" s="41"/>
      <c r="C28" s="14"/>
      <c r="D28" s="36"/>
      <c r="E28" s="14"/>
      <c r="F28" s="14"/>
      <c r="G28" s="14"/>
      <c r="H28" s="14"/>
      <c r="I28" s="14"/>
      <c r="J28" s="14"/>
      <c r="K28" s="14"/>
      <c r="L28" s="14"/>
      <c r="M28" s="14"/>
      <c r="N28" s="14"/>
      <c r="O28" s="14"/>
      <c r="P28" s="14"/>
      <c r="Q28" s="14"/>
      <c r="R28" s="14"/>
      <c r="S28" s="14"/>
      <c r="T28" s="14"/>
      <c r="U28" s="14"/>
      <c r="V28" s="14"/>
      <c r="W28" s="27"/>
      <c r="X28" s="26"/>
      <c r="Y28" s="26"/>
      <c r="Z28" s="20" t="s">
        <v>22</v>
      </c>
      <c r="AA28" s="20"/>
      <c r="AB28" s="10">
        <f>VLOOKUP(D40,D6:I15,3,FALSE)</f>
        <v>12.6</v>
      </c>
      <c r="AC28" s="14"/>
      <c r="AD28" s="14"/>
      <c r="AE28" s="42"/>
    </row>
    <row r="29" spans="2:31" x14ac:dyDescent="0.25">
      <c r="B29" s="41"/>
      <c r="C29" s="14"/>
      <c r="D29" s="36"/>
      <c r="E29" s="14"/>
      <c r="F29" s="14"/>
      <c r="G29" s="14"/>
      <c r="H29" s="14"/>
      <c r="I29" s="14"/>
      <c r="J29" s="14"/>
      <c r="K29" s="14"/>
      <c r="L29" s="14"/>
      <c r="M29" s="14"/>
      <c r="N29" s="14"/>
      <c r="O29" s="14"/>
      <c r="P29" s="14"/>
      <c r="Q29" s="14"/>
      <c r="R29" s="14"/>
      <c r="S29" s="14"/>
      <c r="T29" s="14"/>
      <c r="U29" s="14"/>
      <c r="V29" s="14"/>
      <c r="W29" s="27"/>
      <c r="X29" s="26"/>
      <c r="Y29" s="26"/>
      <c r="Z29" s="20" t="s">
        <v>23</v>
      </c>
      <c r="AA29" s="20"/>
      <c r="AB29" s="10">
        <f>(1-F40)*AB28</f>
        <v>8.8199999999999985</v>
      </c>
      <c r="AC29" s="14"/>
      <c r="AD29" s="14"/>
      <c r="AE29" s="42"/>
    </row>
    <row r="30" spans="2:31" x14ac:dyDescent="0.25">
      <c r="B30" s="41"/>
      <c r="C30" s="14"/>
      <c r="D30" s="36"/>
      <c r="E30" s="14"/>
      <c r="F30" s="14"/>
      <c r="G30" s="14"/>
      <c r="H30" s="14"/>
      <c r="I30" s="14"/>
      <c r="J30" s="14"/>
      <c r="K30" s="14"/>
      <c r="L30" s="14"/>
      <c r="M30" s="14"/>
      <c r="N30" s="14"/>
      <c r="O30" s="14"/>
      <c r="P30" s="14"/>
      <c r="Q30" s="14"/>
      <c r="R30" s="14"/>
      <c r="S30" s="14"/>
      <c r="T30" s="14"/>
      <c r="U30" s="14"/>
      <c r="V30" s="14"/>
      <c r="W30" s="27"/>
      <c r="X30" s="26"/>
      <c r="Y30" s="26"/>
      <c r="Z30" s="20"/>
      <c r="AA30" s="20"/>
      <c r="AB30" s="12"/>
      <c r="AC30" s="14"/>
      <c r="AD30" s="14"/>
      <c r="AE30" s="42"/>
    </row>
    <row r="31" spans="2:31" x14ac:dyDescent="0.25">
      <c r="B31" s="41"/>
      <c r="C31" s="14"/>
      <c r="D31" s="36"/>
      <c r="E31" s="14"/>
      <c r="F31" s="14"/>
      <c r="G31" s="14"/>
      <c r="H31" s="14"/>
      <c r="I31" s="14"/>
      <c r="J31" s="14"/>
      <c r="K31" s="14"/>
      <c r="L31" s="14"/>
      <c r="M31" s="14"/>
      <c r="N31" s="14"/>
      <c r="O31" s="14"/>
      <c r="P31" s="14"/>
      <c r="Q31" s="14"/>
      <c r="R31" s="14"/>
      <c r="S31" s="14"/>
      <c r="T31" s="14"/>
      <c r="U31" s="14"/>
      <c r="V31" s="14"/>
      <c r="W31" s="27"/>
      <c r="X31" s="26"/>
      <c r="Y31" s="26"/>
      <c r="Z31" s="20" t="s">
        <v>24</v>
      </c>
      <c r="AA31" s="20"/>
      <c r="AB31" s="10">
        <f>VLOOKUP(D40,D6:I15,4,FALSE)</f>
        <v>0.7</v>
      </c>
      <c r="AC31" s="14"/>
      <c r="AD31" s="14"/>
      <c r="AE31" s="42"/>
    </row>
    <row r="32" spans="2:31" x14ac:dyDescent="0.25">
      <c r="B32" s="41"/>
      <c r="C32" s="14"/>
      <c r="D32" s="36"/>
      <c r="E32" s="14"/>
      <c r="F32" s="14"/>
      <c r="G32" s="14"/>
      <c r="H32" s="14"/>
      <c r="I32" s="14"/>
      <c r="J32" s="14"/>
      <c r="K32" s="14"/>
      <c r="L32" s="14"/>
      <c r="M32" s="14"/>
      <c r="N32" s="14"/>
      <c r="O32" s="14"/>
      <c r="P32" s="14"/>
      <c r="Q32" s="14"/>
      <c r="R32" s="14"/>
      <c r="S32" s="14"/>
      <c r="T32" s="14"/>
      <c r="U32" s="14"/>
      <c r="V32" s="14"/>
      <c r="W32" s="27"/>
      <c r="X32" s="26"/>
      <c r="Y32" s="26"/>
      <c r="Z32" s="20" t="s">
        <v>25</v>
      </c>
      <c r="AA32" s="20"/>
      <c r="AB32" s="10">
        <f>(1-G40)*AB31</f>
        <v>0.55999999999999994</v>
      </c>
      <c r="AC32" s="14"/>
      <c r="AD32" s="14"/>
      <c r="AE32" s="42"/>
    </row>
    <row r="33" spans="2:31" x14ac:dyDescent="0.25">
      <c r="B33" s="41"/>
      <c r="C33" s="14"/>
      <c r="D33" s="36"/>
      <c r="E33" s="14"/>
      <c r="F33" s="14"/>
      <c r="G33" s="14"/>
      <c r="H33" s="14"/>
      <c r="I33" s="14"/>
      <c r="J33" s="14"/>
      <c r="K33" s="14"/>
      <c r="L33" s="14"/>
      <c r="M33" s="14"/>
      <c r="N33" s="14"/>
      <c r="O33" s="14"/>
      <c r="P33" s="14"/>
      <c r="Q33" s="14"/>
      <c r="R33" s="14"/>
      <c r="S33" s="14"/>
      <c r="T33" s="14"/>
      <c r="U33" s="14"/>
      <c r="V33" s="14"/>
      <c r="W33" s="27"/>
      <c r="X33" s="26"/>
      <c r="Y33" s="26"/>
      <c r="Z33" s="20"/>
      <c r="AA33" s="20"/>
      <c r="AB33" s="10"/>
      <c r="AC33" s="14"/>
      <c r="AD33" s="14"/>
      <c r="AE33" s="42"/>
    </row>
    <row r="34" spans="2:31" x14ac:dyDescent="0.25">
      <c r="B34" s="41"/>
      <c r="C34" s="14"/>
      <c r="D34" s="36"/>
      <c r="E34" s="14"/>
      <c r="F34" s="14"/>
      <c r="G34" s="14"/>
      <c r="H34" s="14"/>
      <c r="I34" s="14"/>
      <c r="J34" s="14"/>
      <c r="K34" s="14"/>
      <c r="L34" s="14"/>
      <c r="M34" s="14"/>
      <c r="N34" s="14"/>
      <c r="O34" s="14"/>
      <c r="P34" s="14"/>
      <c r="Q34" s="14"/>
      <c r="R34" s="14"/>
      <c r="S34" s="14"/>
      <c r="T34" s="14"/>
      <c r="U34" s="14"/>
      <c r="V34" s="14"/>
      <c r="W34" s="27"/>
      <c r="X34" s="26"/>
      <c r="Y34" s="26"/>
      <c r="Z34" s="20" t="s">
        <v>26</v>
      </c>
      <c r="AA34" s="20"/>
      <c r="AB34" s="10">
        <f>VLOOKUP(D40,D6:I15,5,FALSE)</f>
        <v>1.2</v>
      </c>
      <c r="AC34" s="14"/>
      <c r="AD34" s="14"/>
      <c r="AE34" s="42"/>
    </row>
    <row r="35" spans="2:31" x14ac:dyDescent="0.25">
      <c r="B35" s="41"/>
      <c r="C35" s="14"/>
      <c r="D35" s="36"/>
      <c r="E35" s="14"/>
      <c r="F35" s="14"/>
      <c r="G35" s="14"/>
      <c r="H35" s="14"/>
      <c r="I35" s="14"/>
      <c r="J35" s="14"/>
      <c r="K35" s="14"/>
      <c r="L35" s="14"/>
      <c r="M35" s="14"/>
      <c r="N35" s="14"/>
      <c r="O35" s="14"/>
      <c r="P35" s="14"/>
      <c r="Q35" s="14"/>
      <c r="R35" s="14"/>
      <c r="S35" s="14"/>
      <c r="T35" s="14"/>
      <c r="U35" s="14"/>
      <c r="V35" s="14"/>
      <c r="W35" s="27"/>
      <c r="X35" s="26"/>
      <c r="Y35" s="26"/>
      <c r="Z35" s="20" t="s">
        <v>27</v>
      </c>
      <c r="AA35" s="20"/>
      <c r="AB35" s="10">
        <f>(1-H40)*AB34</f>
        <v>1.02</v>
      </c>
      <c r="AC35" s="14"/>
      <c r="AD35" s="14"/>
      <c r="AE35" s="42"/>
    </row>
    <row r="36" spans="2:31" ht="13.9" customHeight="1" x14ac:dyDescent="0.25">
      <c r="B36" s="41"/>
      <c r="C36" s="14"/>
      <c r="D36" s="36"/>
      <c r="E36" s="14"/>
      <c r="F36" s="14"/>
      <c r="G36" s="14"/>
      <c r="H36" s="14"/>
      <c r="I36" s="14"/>
      <c r="J36" s="14"/>
      <c r="K36" s="14"/>
      <c r="L36" s="14"/>
      <c r="M36" s="14"/>
      <c r="N36" s="14"/>
      <c r="O36" s="14"/>
      <c r="P36" s="14"/>
      <c r="Q36" s="14"/>
      <c r="R36" s="14"/>
      <c r="S36" s="14"/>
      <c r="T36" s="14"/>
      <c r="U36" s="14"/>
      <c r="V36" s="14"/>
      <c r="W36" s="27"/>
      <c r="X36" s="26"/>
      <c r="Y36" s="26"/>
      <c r="Z36" s="20"/>
      <c r="AA36" s="20"/>
      <c r="AB36" s="10"/>
      <c r="AC36" s="14"/>
      <c r="AD36" s="14"/>
      <c r="AE36" s="42"/>
    </row>
    <row r="37" spans="2:31" x14ac:dyDescent="0.25">
      <c r="B37" s="41"/>
      <c r="C37" s="14"/>
      <c r="D37" s="36"/>
      <c r="E37" s="14"/>
      <c r="F37" s="14"/>
      <c r="G37" s="14"/>
      <c r="H37" s="14"/>
      <c r="I37" s="14"/>
      <c r="J37" s="14"/>
      <c r="K37" s="14"/>
      <c r="L37" s="14"/>
      <c r="M37" s="14"/>
      <c r="N37" s="14"/>
      <c r="O37" s="14"/>
      <c r="P37" s="14"/>
      <c r="Q37" s="14"/>
      <c r="R37" s="14"/>
      <c r="S37" s="14"/>
      <c r="T37" s="14"/>
      <c r="U37" s="14"/>
      <c r="V37" s="14"/>
      <c r="W37" s="27"/>
      <c r="X37" s="26"/>
      <c r="Y37" s="26"/>
      <c r="Z37" s="20" t="s">
        <v>38</v>
      </c>
      <c r="AA37" s="20"/>
      <c r="AB37" s="10">
        <f>VLOOKUP(D40,D6:I15,6,FALSE)</f>
        <v>9.9</v>
      </c>
      <c r="AC37" s="14"/>
      <c r="AD37" s="14"/>
      <c r="AE37" s="42"/>
    </row>
    <row r="38" spans="2:31" ht="15.75" thickBot="1" x14ac:dyDescent="0.3">
      <c r="B38" s="41"/>
      <c r="C38" s="14"/>
      <c r="D38" s="36"/>
      <c r="E38" s="14"/>
      <c r="F38" s="14"/>
      <c r="G38" s="14"/>
      <c r="H38" s="14"/>
      <c r="I38" s="14"/>
      <c r="J38" s="14"/>
      <c r="K38" s="14"/>
      <c r="L38" s="14"/>
      <c r="M38" s="14"/>
      <c r="N38" s="14"/>
      <c r="O38" s="14"/>
      <c r="P38" s="14"/>
      <c r="Q38" s="14"/>
      <c r="R38" s="14"/>
      <c r="S38" s="14"/>
      <c r="T38" s="14"/>
      <c r="U38" s="14"/>
      <c r="V38" s="14"/>
      <c r="W38" s="28"/>
      <c r="X38" s="29"/>
      <c r="Y38" s="29"/>
      <c r="Z38" s="30" t="s">
        <v>39</v>
      </c>
      <c r="AA38" s="30"/>
      <c r="AB38" s="13">
        <f>(1-I40)*AB37</f>
        <v>9.4049999999999994</v>
      </c>
      <c r="AC38" s="14"/>
      <c r="AD38" s="14"/>
      <c r="AE38" s="42"/>
    </row>
    <row r="39" spans="2:31" ht="95.25" thickBot="1" x14ac:dyDescent="0.3">
      <c r="B39" s="41"/>
      <c r="C39" s="87" t="s">
        <v>28</v>
      </c>
      <c r="D39" s="47" t="s">
        <v>29</v>
      </c>
      <c r="E39" s="47" t="s">
        <v>30</v>
      </c>
      <c r="F39" s="47" t="s">
        <v>31</v>
      </c>
      <c r="G39" s="47" t="s">
        <v>32</v>
      </c>
      <c r="H39" s="47" t="s">
        <v>33</v>
      </c>
      <c r="I39" s="47" t="s">
        <v>40</v>
      </c>
      <c r="J39" s="47" t="s">
        <v>34</v>
      </c>
      <c r="K39" s="14"/>
      <c r="L39" s="14"/>
      <c r="M39" s="14"/>
      <c r="N39" s="14"/>
      <c r="O39" s="14"/>
      <c r="P39" s="14"/>
      <c r="Q39" s="14"/>
      <c r="R39" s="14"/>
      <c r="S39" s="14"/>
      <c r="T39" s="14"/>
      <c r="U39" s="14"/>
      <c r="V39" s="14"/>
      <c r="W39" s="14"/>
      <c r="X39" s="14"/>
      <c r="Y39" s="14"/>
      <c r="Z39" s="14"/>
      <c r="AA39" s="14"/>
      <c r="AB39" s="14"/>
      <c r="AC39" s="14"/>
      <c r="AD39" s="14"/>
      <c r="AE39" s="42"/>
    </row>
    <row r="40" spans="2:31" ht="24" customHeight="1" thickBot="1" x14ac:dyDescent="0.3">
      <c r="B40" s="41"/>
      <c r="C40" s="88"/>
      <c r="D40" s="61">
        <v>2024</v>
      </c>
      <c r="E40" s="62">
        <v>0.6</v>
      </c>
      <c r="F40" s="62">
        <v>0.3</v>
      </c>
      <c r="G40" s="62">
        <v>0.2</v>
      </c>
      <c r="H40" s="62">
        <v>0.15</v>
      </c>
      <c r="I40" s="62">
        <v>0.05</v>
      </c>
      <c r="J40" s="48">
        <f>(AB23-AB22)/AB22</f>
        <v>-0.52970608817354781</v>
      </c>
      <c r="K40" s="14"/>
      <c r="L40" s="14"/>
      <c r="M40" s="14"/>
      <c r="N40" s="14"/>
      <c r="O40" s="14"/>
      <c r="P40" s="14"/>
      <c r="Q40" s="14"/>
      <c r="R40" s="14"/>
      <c r="S40" s="14"/>
      <c r="T40" s="14"/>
      <c r="U40" s="14"/>
      <c r="V40" s="14"/>
      <c r="W40" s="14"/>
      <c r="X40" s="14"/>
      <c r="Y40" s="14"/>
      <c r="Z40" s="14"/>
      <c r="AA40" s="14"/>
      <c r="AB40" s="14"/>
      <c r="AC40" s="14"/>
      <c r="AD40" s="14"/>
      <c r="AE40" s="42"/>
    </row>
    <row r="41" spans="2:31" ht="14.45" customHeight="1" x14ac:dyDescent="0.25">
      <c r="B41" s="41"/>
      <c r="C41" s="74" t="s">
        <v>45</v>
      </c>
      <c r="D41" s="75"/>
      <c r="E41" s="75"/>
      <c r="F41" s="75"/>
      <c r="G41" s="75"/>
      <c r="H41" s="75"/>
      <c r="I41" s="75"/>
      <c r="J41" s="76"/>
      <c r="K41" s="14"/>
      <c r="L41" s="14"/>
      <c r="M41" s="14"/>
      <c r="N41" s="14"/>
      <c r="O41" s="14"/>
      <c r="P41" s="14"/>
      <c r="Q41" s="14"/>
      <c r="R41" s="14"/>
      <c r="S41" s="14"/>
      <c r="T41" s="14"/>
      <c r="U41" s="14"/>
      <c r="V41" s="14"/>
      <c r="W41" s="14"/>
      <c r="X41" s="14"/>
      <c r="Y41" s="14"/>
      <c r="Z41" s="14"/>
      <c r="AA41" s="14"/>
      <c r="AB41" s="14"/>
      <c r="AC41" s="14"/>
      <c r="AD41" s="14"/>
      <c r="AE41" s="42"/>
    </row>
    <row r="42" spans="2:31" ht="14.45" customHeight="1" x14ac:dyDescent="0.25">
      <c r="B42" s="41"/>
      <c r="C42" s="77"/>
      <c r="D42" s="78"/>
      <c r="E42" s="78"/>
      <c r="F42" s="78"/>
      <c r="G42" s="78"/>
      <c r="H42" s="78"/>
      <c r="I42" s="78"/>
      <c r="J42" s="79"/>
      <c r="K42" s="14"/>
      <c r="L42" s="14"/>
      <c r="M42" s="14"/>
      <c r="N42" s="14"/>
      <c r="O42" s="14"/>
      <c r="P42" s="14"/>
      <c r="Q42" s="14"/>
      <c r="R42" s="14"/>
      <c r="S42" s="14"/>
      <c r="T42" s="14"/>
      <c r="U42" s="14"/>
      <c r="V42" s="14"/>
      <c r="W42" s="14"/>
      <c r="X42" s="14"/>
      <c r="Y42" s="14"/>
      <c r="Z42" s="14"/>
      <c r="AA42" s="14"/>
      <c r="AB42" s="14"/>
      <c r="AC42" s="14"/>
      <c r="AD42" s="14"/>
      <c r="AE42" s="42"/>
    </row>
    <row r="43" spans="2:31" ht="14.45" customHeight="1" x14ac:dyDescent="0.25">
      <c r="B43" s="41"/>
      <c r="C43" s="77"/>
      <c r="D43" s="78"/>
      <c r="E43" s="78"/>
      <c r="F43" s="78"/>
      <c r="G43" s="78"/>
      <c r="H43" s="78"/>
      <c r="I43" s="78"/>
      <c r="J43" s="79"/>
      <c r="K43" s="14"/>
      <c r="L43" s="14"/>
      <c r="M43" s="14"/>
      <c r="N43" s="14"/>
      <c r="O43" s="14"/>
      <c r="P43" s="14"/>
      <c r="Q43" s="14"/>
      <c r="R43" s="14"/>
      <c r="S43" s="14"/>
      <c r="T43" s="14"/>
      <c r="U43" s="14"/>
      <c r="V43" s="14"/>
      <c r="W43" s="14"/>
      <c r="X43" s="14"/>
      <c r="Y43" s="14"/>
      <c r="Z43" s="14"/>
      <c r="AA43" s="14"/>
      <c r="AB43" s="14"/>
      <c r="AC43" s="14"/>
      <c r="AD43" s="14"/>
      <c r="AE43" s="42"/>
    </row>
    <row r="44" spans="2:31" ht="14.45" customHeight="1" x14ac:dyDescent="0.25">
      <c r="B44" s="41"/>
      <c r="C44" s="77"/>
      <c r="D44" s="78"/>
      <c r="E44" s="78"/>
      <c r="F44" s="78"/>
      <c r="G44" s="78"/>
      <c r="H44" s="78"/>
      <c r="I44" s="78"/>
      <c r="J44" s="79"/>
      <c r="K44" s="14"/>
      <c r="L44" s="14"/>
      <c r="M44" s="14"/>
      <c r="N44" s="14"/>
      <c r="O44" s="14"/>
      <c r="P44" s="14"/>
      <c r="Q44" s="14"/>
      <c r="R44" s="14"/>
      <c r="S44" s="14"/>
      <c r="T44" s="14"/>
      <c r="U44" s="14"/>
      <c r="V44" s="14"/>
      <c r="W44" s="14"/>
      <c r="X44" s="14"/>
      <c r="Y44" s="14"/>
      <c r="Z44" s="14"/>
      <c r="AA44" s="14"/>
      <c r="AB44" s="14"/>
      <c r="AC44" s="14"/>
      <c r="AD44" s="14"/>
      <c r="AE44" s="42"/>
    </row>
    <row r="45" spans="2:31" ht="14.45" customHeight="1" x14ac:dyDescent="0.25">
      <c r="B45" s="41"/>
      <c r="C45" s="77"/>
      <c r="D45" s="78"/>
      <c r="E45" s="78"/>
      <c r="F45" s="78"/>
      <c r="G45" s="78"/>
      <c r="H45" s="78"/>
      <c r="I45" s="78"/>
      <c r="J45" s="79"/>
      <c r="K45" s="14"/>
      <c r="L45" s="14"/>
      <c r="M45" s="14"/>
      <c r="N45" s="14"/>
      <c r="O45" s="14"/>
      <c r="P45" s="14"/>
      <c r="Q45" s="14"/>
      <c r="R45" s="14"/>
      <c r="S45" s="14"/>
      <c r="T45" s="14"/>
      <c r="U45" s="14"/>
      <c r="V45" s="14"/>
      <c r="W45" s="14"/>
      <c r="X45" s="14"/>
      <c r="Y45" s="14"/>
      <c r="Z45" s="14"/>
      <c r="AA45" s="14"/>
      <c r="AB45" s="14"/>
      <c r="AC45" s="14"/>
      <c r="AD45" s="14"/>
      <c r="AE45" s="42"/>
    </row>
    <row r="46" spans="2:31" ht="14.45" customHeight="1" x14ac:dyDescent="0.25">
      <c r="B46" s="41"/>
      <c r="C46" s="77"/>
      <c r="D46" s="78"/>
      <c r="E46" s="78"/>
      <c r="F46" s="78"/>
      <c r="G46" s="78"/>
      <c r="H46" s="78"/>
      <c r="I46" s="78"/>
      <c r="J46" s="79"/>
      <c r="K46" s="14"/>
      <c r="L46" s="14"/>
      <c r="M46" s="14"/>
      <c r="N46" s="14"/>
      <c r="O46" s="14"/>
      <c r="P46" s="14"/>
      <c r="Q46" s="14"/>
      <c r="R46" s="14"/>
      <c r="S46" s="14"/>
      <c r="T46" s="14"/>
      <c r="U46" s="14"/>
      <c r="V46" s="14"/>
      <c r="W46" s="14"/>
      <c r="X46" s="14"/>
      <c r="Y46" s="14"/>
      <c r="Z46" s="14"/>
      <c r="AA46" s="14"/>
      <c r="AB46" s="14"/>
      <c r="AC46" s="14"/>
      <c r="AD46" s="14"/>
      <c r="AE46" s="42"/>
    </row>
    <row r="47" spans="2:31" x14ac:dyDescent="0.25">
      <c r="B47" s="41"/>
      <c r="C47" s="77"/>
      <c r="D47" s="78"/>
      <c r="E47" s="78"/>
      <c r="F47" s="78"/>
      <c r="G47" s="78"/>
      <c r="H47" s="78"/>
      <c r="I47" s="78"/>
      <c r="J47" s="79"/>
      <c r="K47" s="14"/>
      <c r="L47" s="14"/>
      <c r="M47" s="14"/>
      <c r="N47" s="14"/>
      <c r="O47" s="14"/>
      <c r="P47" s="14"/>
      <c r="Q47" s="14"/>
      <c r="R47" s="14"/>
      <c r="S47" s="14"/>
      <c r="T47" s="14"/>
      <c r="U47" s="14"/>
      <c r="V47" s="14"/>
      <c r="W47" s="14"/>
      <c r="X47" s="14"/>
      <c r="Y47" s="14"/>
      <c r="Z47" s="14"/>
      <c r="AA47" s="14"/>
      <c r="AB47" s="14"/>
      <c r="AC47" s="14"/>
      <c r="AD47" s="14"/>
      <c r="AE47" s="42"/>
    </row>
    <row r="48" spans="2:31" x14ac:dyDescent="0.25">
      <c r="B48" s="41"/>
      <c r="C48" s="77"/>
      <c r="D48" s="78"/>
      <c r="E48" s="78"/>
      <c r="F48" s="78"/>
      <c r="G48" s="78"/>
      <c r="H48" s="78"/>
      <c r="I48" s="78"/>
      <c r="J48" s="79"/>
      <c r="K48" s="14"/>
      <c r="L48" s="14"/>
      <c r="M48" s="14"/>
      <c r="N48" s="14"/>
      <c r="O48" s="14"/>
      <c r="P48" s="14"/>
      <c r="Q48" s="14"/>
      <c r="R48" s="14"/>
      <c r="S48" s="14"/>
      <c r="T48" s="14"/>
      <c r="U48" s="14"/>
      <c r="V48" s="14"/>
      <c r="W48" s="14"/>
      <c r="X48" s="14"/>
      <c r="Y48" s="14"/>
      <c r="Z48" s="14"/>
      <c r="AA48" s="14"/>
      <c r="AB48" s="14"/>
      <c r="AC48" s="14"/>
      <c r="AD48" s="14"/>
      <c r="AE48" s="42"/>
    </row>
    <row r="49" spans="2:31" ht="15.75" thickBot="1" x14ac:dyDescent="0.3">
      <c r="B49" s="41"/>
      <c r="C49" s="80"/>
      <c r="D49" s="81"/>
      <c r="E49" s="81"/>
      <c r="F49" s="81"/>
      <c r="G49" s="81"/>
      <c r="H49" s="81"/>
      <c r="I49" s="81"/>
      <c r="J49" s="82"/>
      <c r="K49" s="14"/>
      <c r="L49" s="14"/>
      <c r="M49" s="14"/>
      <c r="N49" s="14"/>
      <c r="O49" s="14"/>
      <c r="P49" s="14"/>
      <c r="Q49" s="14"/>
      <c r="R49" s="14"/>
      <c r="S49" s="14"/>
      <c r="T49" s="14"/>
      <c r="U49" s="14"/>
      <c r="V49" s="14"/>
      <c r="W49" s="14"/>
      <c r="X49" s="14"/>
      <c r="Y49" s="14"/>
      <c r="Z49" s="14"/>
      <c r="AA49" s="14"/>
      <c r="AB49" s="14"/>
      <c r="AC49" s="14"/>
      <c r="AD49" s="14"/>
      <c r="AE49" s="42"/>
    </row>
    <row r="50" spans="2:31" x14ac:dyDescent="0.25">
      <c r="B50" s="41"/>
      <c r="C50" s="14"/>
      <c r="D50" s="36"/>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42"/>
    </row>
    <row r="51" spans="2:31" x14ac:dyDescent="0.25">
      <c r="B51" s="41"/>
      <c r="C51" s="14"/>
      <c r="D51" s="36"/>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42"/>
    </row>
    <row r="52" spans="2:31" x14ac:dyDescent="0.25">
      <c r="B52" s="41"/>
      <c r="C52" s="14"/>
      <c r="D52" s="36"/>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42"/>
    </row>
    <row r="53" spans="2:31" x14ac:dyDescent="0.25">
      <c r="B53" s="41"/>
      <c r="C53" s="14"/>
      <c r="D53" s="3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42"/>
    </row>
    <row r="54" spans="2:31" x14ac:dyDescent="0.25">
      <c r="B54" s="41"/>
      <c r="C54" s="14"/>
      <c r="D54" s="3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42"/>
    </row>
    <row r="55" spans="2:31" ht="15.75" thickBot="1" x14ac:dyDescent="0.3">
      <c r="B55" s="41"/>
      <c r="C55" s="14"/>
      <c r="D55" s="36"/>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42"/>
    </row>
    <row r="56" spans="2:31" x14ac:dyDescent="0.25">
      <c r="B56" s="41"/>
      <c r="C56" s="14"/>
      <c r="D56" s="36"/>
      <c r="E56" s="14"/>
      <c r="F56" s="14"/>
      <c r="G56" s="14"/>
      <c r="H56" s="14"/>
      <c r="I56" s="14"/>
      <c r="J56" s="14"/>
      <c r="K56" s="14"/>
      <c r="L56" s="14"/>
      <c r="M56" s="14"/>
      <c r="N56" s="64" t="s">
        <v>42</v>
      </c>
      <c r="O56" s="65"/>
      <c r="P56" s="66"/>
      <c r="Q56" s="66"/>
      <c r="R56" s="66"/>
      <c r="S56" s="66"/>
      <c r="T56" s="66"/>
      <c r="U56" s="66"/>
      <c r="V56" s="67"/>
      <c r="W56" s="14"/>
      <c r="X56" s="14"/>
      <c r="Y56" s="14"/>
      <c r="Z56" s="14"/>
      <c r="AA56" s="14"/>
      <c r="AB56" s="14"/>
      <c r="AC56" s="14"/>
      <c r="AD56" s="14"/>
      <c r="AE56" s="42"/>
    </row>
    <row r="57" spans="2:31" x14ac:dyDescent="0.25">
      <c r="B57" s="41"/>
      <c r="C57" s="14"/>
      <c r="D57" s="36"/>
      <c r="E57" s="14"/>
      <c r="F57" s="14"/>
      <c r="G57" s="14"/>
      <c r="H57" s="14"/>
      <c r="I57" s="14"/>
      <c r="J57" s="14"/>
      <c r="K57" s="14"/>
      <c r="L57" s="14"/>
      <c r="M57" s="14"/>
      <c r="N57" s="68"/>
      <c r="O57" s="69"/>
      <c r="P57" s="69"/>
      <c r="Q57" s="69"/>
      <c r="R57" s="69"/>
      <c r="S57" s="69"/>
      <c r="T57" s="69"/>
      <c r="U57" s="69"/>
      <c r="V57" s="70"/>
      <c r="W57" s="14"/>
      <c r="X57" s="14"/>
      <c r="Y57" s="14"/>
      <c r="Z57" s="14"/>
      <c r="AA57" s="14"/>
      <c r="AB57" s="14"/>
      <c r="AC57" s="14"/>
      <c r="AD57" s="14"/>
      <c r="AE57" s="42"/>
    </row>
    <row r="58" spans="2:31" x14ac:dyDescent="0.25">
      <c r="B58" s="41"/>
      <c r="C58" s="14"/>
      <c r="D58" s="36"/>
      <c r="E58" s="14"/>
      <c r="F58" s="14"/>
      <c r="G58" s="14"/>
      <c r="H58" s="14"/>
      <c r="I58" s="14"/>
      <c r="J58" s="14"/>
      <c r="K58" s="14"/>
      <c r="L58" s="14"/>
      <c r="M58" s="14"/>
      <c r="N58" s="68"/>
      <c r="O58" s="69"/>
      <c r="P58" s="69"/>
      <c r="Q58" s="69"/>
      <c r="R58" s="69"/>
      <c r="S58" s="69"/>
      <c r="T58" s="69"/>
      <c r="U58" s="69"/>
      <c r="V58" s="70"/>
      <c r="W58" s="14"/>
      <c r="X58" s="14"/>
      <c r="Y58" s="14"/>
      <c r="Z58" s="14"/>
      <c r="AA58" s="14"/>
      <c r="AB58" s="14"/>
      <c r="AC58" s="14"/>
      <c r="AD58" s="14"/>
      <c r="AE58" s="42"/>
    </row>
    <row r="59" spans="2:31" ht="15.75" thickBot="1" x14ac:dyDescent="0.3">
      <c r="B59" s="41"/>
      <c r="C59" s="14"/>
      <c r="D59" s="36"/>
      <c r="E59" s="14"/>
      <c r="F59" s="14"/>
      <c r="G59" s="14"/>
      <c r="H59" s="14"/>
      <c r="I59" s="14"/>
      <c r="J59" s="14"/>
      <c r="K59" s="14"/>
      <c r="L59" s="14"/>
      <c r="M59" s="14"/>
      <c r="N59" s="71"/>
      <c r="O59" s="72"/>
      <c r="P59" s="72"/>
      <c r="Q59" s="72"/>
      <c r="R59" s="72"/>
      <c r="S59" s="72"/>
      <c r="T59" s="72"/>
      <c r="U59" s="72"/>
      <c r="V59" s="73"/>
      <c r="W59" s="14"/>
      <c r="X59" s="14"/>
      <c r="Y59" s="14"/>
      <c r="Z59" s="14"/>
      <c r="AA59" s="14"/>
      <c r="AB59" s="14"/>
      <c r="AC59" s="14"/>
      <c r="AD59" s="14"/>
      <c r="AE59" s="42"/>
    </row>
    <row r="60" spans="2:31" x14ac:dyDescent="0.25">
      <c r="B60" s="41"/>
      <c r="C60" s="14"/>
      <c r="D60" s="36"/>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42"/>
    </row>
    <row r="61" spans="2:31" x14ac:dyDescent="0.25">
      <c r="B61" s="41"/>
      <c r="C61" s="14"/>
      <c r="D61" s="36"/>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42"/>
    </row>
    <row r="62" spans="2:31" x14ac:dyDescent="0.25">
      <c r="B62" s="41"/>
      <c r="C62" s="14"/>
      <c r="D62" s="36"/>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42"/>
    </row>
    <row r="63" spans="2:31" x14ac:dyDescent="0.25">
      <c r="B63" s="41"/>
      <c r="C63" s="14"/>
      <c r="D63" s="36"/>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42"/>
    </row>
    <row r="64" spans="2:31" x14ac:dyDescent="0.25">
      <c r="B64" s="41"/>
      <c r="C64" s="14"/>
      <c r="D64" s="36"/>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42"/>
    </row>
    <row r="65" spans="2:31" x14ac:dyDescent="0.25">
      <c r="B65" s="41"/>
      <c r="C65" s="14"/>
      <c r="D65" s="36"/>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42"/>
    </row>
    <row r="66" spans="2:31" x14ac:dyDescent="0.25">
      <c r="B66" s="41"/>
      <c r="C66" s="14"/>
      <c r="D66" s="36"/>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42"/>
    </row>
    <row r="67" spans="2:31" x14ac:dyDescent="0.25">
      <c r="B67" s="41"/>
      <c r="C67" s="14"/>
      <c r="D67" s="3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42"/>
    </row>
    <row r="68" spans="2:31" x14ac:dyDescent="0.25">
      <c r="B68" s="41"/>
      <c r="C68" s="14"/>
      <c r="D68" s="36"/>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42"/>
    </row>
    <row r="69" spans="2:31" x14ac:dyDescent="0.25">
      <c r="B69" s="41"/>
      <c r="C69" s="14"/>
      <c r="D69" s="36"/>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42"/>
    </row>
    <row r="70" spans="2:31" x14ac:dyDescent="0.25">
      <c r="B70" s="41"/>
      <c r="C70" s="14"/>
      <c r="D70" s="36"/>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42"/>
    </row>
    <row r="71" spans="2:31" x14ac:dyDescent="0.25">
      <c r="B71" s="41"/>
      <c r="C71" s="14"/>
      <c r="D71" s="36"/>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42"/>
    </row>
    <row r="72" spans="2:31" x14ac:dyDescent="0.25">
      <c r="B72" s="41"/>
      <c r="C72" s="14"/>
      <c r="D72" s="36"/>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42"/>
    </row>
    <row r="73" spans="2:31" x14ac:dyDescent="0.25">
      <c r="B73" s="41"/>
      <c r="C73" s="14"/>
      <c r="D73" s="36"/>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42"/>
    </row>
    <row r="74" spans="2:31" ht="15.75" thickBot="1" x14ac:dyDescent="0.3">
      <c r="B74" s="43"/>
      <c r="C74" s="44"/>
      <c r="D74" s="45"/>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6"/>
    </row>
    <row r="79" spans="2:31" x14ac:dyDescent="0.25">
      <c r="Z79" s="7"/>
      <c r="AA79" s="7"/>
      <c r="AB79" s="7"/>
      <c r="AC79" s="7"/>
      <c r="AD79" s="7"/>
    </row>
    <row r="80" spans="2:31" x14ac:dyDescent="0.25">
      <c r="Z80" s="7"/>
      <c r="AA80" s="7"/>
      <c r="AB80" s="7"/>
      <c r="AC80" s="7"/>
      <c r="AD80" s="7"/>
    </row>
    <row r="81" spans="26:30" x14ac:dyDescent="0.25">
      <c r="Z81" s="7"/>
      <c r="AA81" s="7"/>
      <c r="AB81" s="7"/>
      <c r="AC81" s="7"/>
      <c r="AD81" s="7"/>
    </row>
    <row r="82" spans="26:30" x14ac:dyDescent="0.25">
      <c r="Z82" s="7"/>
      <c r="AA82" s="7"/>
      <c r="AB82" s="7"/>
      <c r="AC82" s="7"/>
      <c r="AD82" s="7"/>
    </row>
    <row r="83" spans="26:30" x14ac:dyDescent="0.25">
      <c r="Z83" s="7"/>
      <c r="AA83" s="7"/>
      <c r="AB83" s="7"/>
    </row>
  </sheetData>
  <sheetProtection selectLockedCells="1" selectUnlockedCells="1"/>
  <mergeCells count="7">
    <mergeCell ref="N56:V59"/>
    <mergeCell ref="C41:J49"/>
    <mergeCell ref="D3:N3"/>
    <mergeCell ref="C5:C21"/>
    <mergeCell ref="W6:AB10"/>
    <mergeCell ref="C22:P25"/>
    <mergeCell ref="C39:C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0ED8-8E3A-4933-B315-A2B01ECCA7AC}">
  <dimension ref="B1:AE83"/>
  <sheetViews>
    <sheetView zoomScale="70" zoomScaleNormal="70" workbookViewId="0">
      <selection activeCell="G55" sqref="G55"/>
    </sheetView>
  </sheetViews>
  <sheetFormatPr defaultRowHeight="15" x14ac:dyDescent="0.25"/>
  <cols>
    <col min="4" max="4" width="13.7109375" style="1" customWidth="1"/>
    <col min="5" max="9" width="11.85546875" customWidth="1"/>
    <col min="10" max="12" width="11.5703125" customWidth="1"/>
    <col min="13" max="13" width="11.42578125" customWidth="1"/>
    <col min="14" max="15" width="12.42578125" customWidth="1"/>
    <col min="16" max="16" width="11.140625" customWidth="1"/>
    <col min="17" max="17" width="12.85546875" customWidth="1"/>
    <col min="18" max="19" width="13.42578125" customWidth="1"/>
    <col min="20" max="20" width="14.85546875" customWidth="1"/>
    <col min="21" max="22" width="8.7109375" customWidth="1"/>
    <col min="23" max="23" width="12.28515625" customWidth="1"/>
    <col min="24" max="24" width="13.42578125" customWidth="1"/>
    <col min="25" max="25" width="13" customWidth="1"/>
    <col min="26" max="27" width="12.5703125" customWidth="1"/>
    <col min="28" max="28" width="14.140625" customWidth="1"/>
  </cols>
  <sheetData>
    <row r="1" spans="2:31" ht="15.75" thickBot="1" x14ac:dyDescent="0.3"/>
    <row r="2" spans="2:31" ht="15.75" thickBot="1" x14ac:dyDescent="0.3">
      <c r="B2" s="37"/>
      <c r="C2" s="38"/>
      <c r="D2" s="39"/>
      <c r="E2" s="38"/>
      <c r="F2" s="38"/>
      <c r="G2" s="38"/>
      <c r="H2" s="38"/>
      <c r="I2" s="38"/>
      <c r="J2" s="38"/>
      <c r="K2" s="38"/>
      <c r="L2" s="38"/>
      <c r="M2" s="38"/>
      <c r="N2" s="38"/>
      <c r="O2" s="38"/>
      <c r="P2" s="38"/>
      <c r="Q2" s="38"/>
      <c r="R2" s="38"/>
      <c r="S2" s="38"/>
      <c r="T2" s="38"/>
      <c r="U2" s="38"/>
      <c r="V2" s="38"/>
      <c r="W2" s="38"/>
      <c r="X2" s="38"/>
      <c r="Y2" s="38"/>
      <c r="Z2" s="38"/>
      <c r="AA2" s="38"/>
      <c r="AB2" s="38"/>
      <c r="AC2" s="38"/>
      <c r="AD2" s="38"/>
      <c r="AE2" s="40"/>
    </row>
    <row r="3" spans="2:31" ht="38.450000000000003" customHeight="1" thickBot="1" x14ac:dyDescent="0.3">
      <c r="B3" s="41"/>
      <c r="C3" s="14"/>
      <c r="D3" s="83" t="s">
        <v>44</v>
      </c>
      <c r="E3" s="84"/>
      <c r="F3" s="84"/>
      <c r="G3" s="84"/>
      <c r="H3" s="84"/>
      <c r="I3" s="84"/>
      <c r="J3" s="84"/>
      <c r="K3" s="85"/>
      <c r="L3" s="85"/>
      <c r="M3" s="85"/>
      <c r="N3" s="86"/>
      <c r="O3" s="63"/>
      <c r="P3" s="14"/>
      <c r="Q3" s="14"/>
      <c r="R3" s="14"/>
      <c r="S3" s="14"/>
      <c r="T3" s="14"/>
      <c r="U3" s="14"/>
      <c r="V3" s="14"/>
      <c r="W3" s="14"/>
      <c r="X3" s="14"/>
      <c r="Y3" s="14"/>
      <c r="Z3" s="14"/>
      <c r="AA3" s="14"/>
      <c r="AB3" s="14"/>
      <c r="AC3" s="14"/>
      <c r="AD3" s="14"/>
      <c r="AE3" s="42"/>
    </row>
    <row r="4" spans="2:31" ht="15.95" customHeight="1" thickBot="1" x14ac:dyDescent="0.3">
      <c r="B4" s="41"/>
      <c r="C4" s="14"/>
      <c r="D4" s="15"/>
      <c r="E4" s="14"/>
      <c r="F4" s="14"/>
      <c r="G4" s="14"/>
      <c r="H4" s="14"/>
      <c r="I4" s="14"/>
      <c r="J4" s="14"/>
      <c r="K4" s="14"/>
      <c r="L4" s="14"/>
      <c r="M4" s="14"/>
      <c r="N4" s="14"/>
      <c r="O4" s="14"/>
      <c r="P4" s="14"/>
      <c r="Q4" s="14"/>
      <c r="R4" s="14"/>
      <c r="S4" s="14"/>
      <c r="T4" s="14"/>
      <c r="U4" s="14"/>
      <c r="V4" s="14"/>
      <c r="W4" s="14"/>
      <c r="X4" s="14"/>
      <c r="Y4" s="14"/>
      <c r="Z4" s="14"/>
      <c r="AA4" s="14"/>
      <c r="AB4" s="14"/>
      <c r="AC4" s="14"/>
      <c r="AD4" s="14"/>
      <c r="AE4" s="42"/>
    </row>
    <row r="5" spans="2:31" ht="60" customHeight="1" thickBot="1" x14ac:dyDescent="0.3">
      <c r="B5" s="41"/>
      <c r="C5" s="87" t="s">
        <v>0</v>
      </c>
      <c r="D5" s="53"/>
      <c r="E5" s="54" t="s">
        <v>1</v>
      </c>
      <c r="F5" s="54" t="s">
        <v>2</v>
      </c>
      <c r="G5" s="54" t="s">
        <v>3</v>
      </c>
      <c r="H5" s="54" t="s">
        <v>4</v>
      </c>
      <c r="I5" s="54" t="s">
        <v>36</v>
      </c>
      <c r="J5" s="55" t="s">
        <v>5</v>
      </c>
      <c r="K5" s="56" t="s">
        <v>6</v>
      </c>
      <c r="L5" s="57" t="s">
        <v>7</v>
      </c>
      <c r="M5" s="57" t="s">
        <v>8</v>
      </c>
      <c r="N5" s="57" t="s">
        <v>9</v>
      </c>
      <c r="O5" s="57" t="s">
        <v>41</v>
      </c>
      <c r="P5" s="58" t="s">
        <v>10</v>
      </c>
      <c r="Q5" s="14"/>
      <c r="R5" s="14"/>
      <c r="S5" s="14"/>
      <c r="T5" s="14"/>
      <c r="U5" s="14"/>
      <c r="V5" s="14"/>
      <c r="W5" s="14"/>
      <c r="X5" s="14"/>
      <c r="Y5" s="14"/>
      <c r="Z5" s="14"/>
      <c r="AA5" s="14"/>
      <c r="AB5" s="14"/>
      <c r="AC5" s="14"/>
      <c r="AD5" s="14"/>
      <c r="AE5" s="42"/>
    </row>
    <row r="6" spans="2:31" ht="15" customHeight="1" x14ac:dyDescent="0.25">
      <c r="B6" s="41"/>
      <c r="C6" s="88"/>
      <c r="D6" s="59">
        <v>2015</v>
      </c>
      <c r="E6" s="60">
        <v>40.5</v>
      </c>
      <c r="F6" s="60">
        <v>45</v>
      </c>
      <c r="G6" s="60">
        <v>1.5</v>
      </c>
      <c r="H6" s="60">
        <v>1</v>
      </c>
      <c r="I6" s="60">
        <v>10</v>
      </c>
      <c r="J6" s="50" t="e">
        <f>IF(D6&gt;=$D$40,VLOOKUP($D$40,$D$6:$I$15,2,FALSE)-ABS($D$40-D6)*$AB$14*VLOOKUP($D$40,$D$6:$I$15,2,FALSE)+VLOOKUP($D$40,$D$6:$I$15,3,FALSE)-ABS($D$40-D6)*$AB$15*VLOOKUP($D$40,$D$6:$I$15,3,FALSE)+VLOOKUP($D$40,$D$6:$I$15,4,FALSE)-ABS($D$40-D6)*$AB$16*VLOOKUP($D$40,$D$6:$I$15,4,FALSE)+VLOOKUP($D$40,$D$6:$I$15,5,FALSE)-ABS($D$40-D6)*$AB$17*VLOOKUP($D$40,$D$6:$I$15,5,FALSE),NA())</f>
        <v>#N/A</v>
      </c>
      <c r="K6" s="51" t="e">
        <f>IF(D6&gt;$D$40,1-E5/E6,NA())</f>
        <v>#N/A</v>
      </c>
      <c r="L6" s="51" t="e">
        <f t="shared" ref="L6" si="0">IF(D6&gt;$D$40,1-F5/F6,NA())</f>
        <v>#N/A</v>
      </c>
      <c r="M6" s="51" t="e">
        <f t="shared" ref="M6" si="1">IF(D6&gt;$D$40,1-G5/G6,NA())</f>
        <v>#N/A</v>
      </c>
      <c r="N6" s="51" t="e">
        <f>IF(D6&gt;$D$40,1-H5/H6,NA())</f>
        <v>#N/A</v>
      </c>
      <c r="O6" s="51" t="e">
        <f>IF(D6&gt;$D$40,1-I5/I6,NA())</f>
        <v>#N/A</v>
      </c>
      <c r="P6" s="52" t="e">
        <f t="shared" ref="P6" si="2">IF(D6&gt;$D$40,1-J5/J6,NA())</f>
        <v>#N/A</v>
      </c>
      <c r="Q6" s="14"/>
      <c r="R6" s="14"/>
      <c r="S6" s="14"/>
      <c r="T6" s="14"/>
      <c r="U6" s="14"/>
      <c r="V6" s="14"/>
      <c r="W6" s="90" t="s">
        <v>11</v>
      </c>
      <c r="X6" s="91"/>
      <c r="Y6" s="91"/>
      <c r="Z6" s="91"/>
      <c r="AA6" s="91"/>
      <c r="AB6" s="92"/>
      <c r="AC6" s="14"/>
      <c r="AD6" s="14"/>
      <c r="AE6" s="42"/>
    </row>
    <row r="7" spans="2:31" ht="15" customHeight="1" x14ac:dyDescent="0.25">
      <c r="B7" s="41"/>
      <c r="C7" s="88"/>
      <c r="D7" s="59">
        <v>2016</v>
      </c>
      <c r="E7" s="60">
        <v>52.5</v>
      </c>
      <c r="F7" s="60">
        <v>64</v>
      </c>
      <c r="G7" s="60">
        <v>1.5</v>
      </c>
      <c r="H7" s="60">
        <v>1</v>
      </c>
      <c r="I7" s="60">
        <v>10</v>
      </c>
      <c r="J7" s="50" t="e">
        <f>IF(D7&gt;=$D$40,VLOOKUP($D$40,$D$6:$I$15,2,FALSE)-ABS($D$40-D7)*$AB$14*VLOOKUP($D$40,$D$6:$I$15,2,FALSE)+VLOOKUP($D$40,$D$6:$I$15,3,FALSE)-ABS($D$40-D7)*$AB$15*VLOOKUP($D$40,$D$6:$I$15,3,FALSE)+VLOOKUP($D$40,$D$6:$I$15,4,FALSE)-ABS($D$40-D7)*$AB$16*VLOOKUP($D$40,$D$6:$I$15,4,FALSE)+VLOOKUP($D$40,$D$6:$I$15,5,FALSE)-ABS($D$40-D7)*$AB$17*VLOOKUP($D$40,$D$6:$I$15,5,FALSE),NA())</f>
        <v>#N/A</v>
      </c>
      <c r="K7" s="51">
        <f>1-E6/E7</f>
        <v>0.22857142857142854</v>
      </c>
      <c r="L7" s="51">
        <f t="shared" ref="L7:O7" si="3">1-F6/F7</f>
        <v>0.296875</v>
      </c>
      <c r="M7" s="51">
        <f t="shared" si="3"/>
        <v>0</v>
      </c>
      <c r="N7" s="51">
        <f t="shared" si="3"/>
        <v>0</v>
      </c>
      <c r="O7" s="51">
        <f t="shared" si="3"/>
        <v>0</v>
      </c>
      <c r="P7" s="52" t="e">
        <f>1-J6/J7</f>
        <v>#N/A</v>
      </c>
      <c r="Q7" s="14"/>
      <c r="R7" s="14"/>
      <c r="S7" s="14"/>
      <c r="T7" s="14"/>
      <c r="U7" s="14"/>
      <c r="V7" s="14"/>
      <c r="W7" s="93"/>
      <c r="X7" s="94"/>
      <c r="Y7" s="94"/>
      <c r="Z7" s="94"/>
      <c r="AA7" s="94"/>
      <c r="AB7" s="95"/>
      <c r="AC7" s="14"/>
      <c r="AD7" s="14"/>
      <c r="AE7" s="42"/>
    </row>
    <row r="8" spans="2:31" ht="15" customHeight="1" x14ac:dyDescent="0.25">
      <c r="B8" s="41"/>
      <c r="C8" s="88"/>
      <c r="D8" s="59">
        <v>2017</v>
      </c>
      <c r="E8" s="60">
        <v>76</v>
      </c>
      <c r="F8" s="60">
        <v>76</v>
      </c>
      <c r="G8" s="60">
        <v>2</v>
      </c>
      <c r="H8" s="60">
        <v>1.2</v>
      </c>
      <c r="I8" s="60">
        <v>10</v>
      </c>
      <c r="J8" s="50" t="e">
        <f>IF(D8&gt;=$D$40,VLOOKUP($D$40,$D$6:$I$15,2,FALSE)-ABS($D$40-D8)*$AB$14*VLOOKUP($D$40,$D$6:$I$15,2,FALSE)+VLOOKUP($D$40,$D$6:$I$15,3,FALSE)-ABS($D$40-D8)*$AB$15*VLOOKUP($D$40,$D$6:$I$15,3,FALSE)+VLOOKUP($D$40,$D$6:$I$15,4,FALSE)-ABS($D$40-D8)*$AB$16*VLOOKUP($D$40,$D$6:$I$15,4,FALSE)+VLOOKUP($D$40,$D$6:$I$15,5,FALSE)-ABS($D$40-D8)*$AB$17*VLOOKUP($D$40,$D$6:$I$15,5,FALSE),NA())</f>
        <v>#N/A</v>
      </c>
      <c r="K8" s="51">
        <f t="shared" ref="K8:K19" si="4">1-E7/E8</f>
        <v>0.30921052631578949</v>
      </c>
      <c r="L8" s="51">
        <f t="shared" ref="L8:L20" si="5">1-F7/F8</f>
        <v>0.15789473684210531</v>
      </c>
      <c r="M8" s="51">
        <f t="shared" ref="M8:M20" si="6">1-G7/G8</f>
        <v>0.25</v>
      </c>
      <c r="N8" s="51">
        <f t="shared" ref="N8:N20" si="7">1-H7/H8</f>
        <v>0.16666666666666663</v>
      </c>
      <c r="O8" s="51">
        <f t="shared" ref="O8:O20" si="8">1-I7/I8</f>
        <v>0</v>
      </c>
      <c r="P8" s="52" t="e">
        <f t="shared" ref="P8:P21" si="9">1-J7/J8</f>
        <v>#N/A</v>
      </c>
      <c r="Q8" s="14"/>
      <c r="R8" s="14"/>
      <c r="S8" s="14"/>
      <c r="T8" s="14"/>
      <c r="U8" s="14"/>
      <c r="V8" s="14"/>
      <c r="W8" s="93"/>
      <c r="X8" s="94"/>
      <c r="Y8" s="94"/>
      <c r="Z8" s="94"/>
      <c r="AA8" s="94"/>
      <c r="AB8" s="95"/>
      <c r="AC8" s="14"/>
      <c r="AD8" s="14"/>
      <c r="AE8" s="42"/>
    </row>
    <row r="9" spans="2:31" ht="14.45" customHeight="1" x14ac:dyDescent="0.25">
      <c r="B9" s="41"/>
      <c r="C9" s="88"/>
      <c r="D9" s="59">
        <v>2018</v>
      </c>
      <c r="E9" s="60">
        <v>78</v>
      </c>
      <c r="F9" s="60">
        <v>79</v>
      </c>
      <c r="G9" s="60">
        <v>1.6</v>
      </c>
      <c r="H9" s="60">
        <v>0.7</v>
      </c>
      <c r="I9" s="60">
        <v>10</v>
      </c>
      <c r="J9" s="50">
        <f t="shared" ref="J9:J21" si="10">IF(D9&gt;=$D$40,VLOOKUP($D$40,$D$6:$I$15,2,FALSE)-ABS($D$40-D9)*$AB$14*VLOOKUP($D$40,$D$6:$I$15,2,FALSE)+VLOOKUP($D$40,$D$6:$I$15,3,FALSE)-ABS($D$40-D9)*$AB$15*VLOOKUP($D$40,$D$6:$I$15,3,FALSE)+VLOOKUP($D$40,$D$6:$I$15,4,FALSE)-ABS($D$40-D9)*$AB$16*VLOOKUP($D$40,$D$6:$I$15,4,FALSE)+VLOOKUP($D$40,$D$6:$I$15,5,FALSE)-ABS($D$40-D9)*$AB$17*VLOOKUP($D$40,$D$6:$I$15,5,FALSE)+VLOOKUP($D$40,$D$6:$I$15,6,FALSE)-ABS($D$40-D9)*$AB$18*VLOOKUP($D$40,$D$6:$I$15,6,FALSE),NA())</f>
        <v>169.29999999999998</v>
      </c>
      <c r="K9" s="51">
        <f t="shared" si="4"/>
        <v>2.5641025641025661E-2</v>
      </c>
      <c r="L9" s="51">
        <f t="shared" si="5"/>
        <v>3.7974683544303778E-2</v>
      </c>
      <c r="M9" s="51">
        <f t="shared" si="6"/>
        <v>-0.25</v>
      </c>
      <c r="N9" s="51">
        <f t="shared" si="7"/>
        <v>-0.71428571428571441</v>
      </c>
      <c r="O9" s="51">
        <f t="shared" si="8"/>
        <v>0</v>
      </c>
      <c r="P9" s="52" t="e">
        <f t="shared" si="9"/>
        <v>#N/A</v>
      </c>
      <c r="Q9" s="14"/>
      <c r="R9" s="14"/>
      <c r="S9" s="14"/>
      <c r="T9" s="14"/>
      <c r="U9" s="14"/>
      <c r="V9" s="14"/>
      <c r="W9" s="93"/>
      <c r="X9" s="94"/>
      <c r="Y9" s="94"/>
      <c r="Z9" s="94"/>
      <c r="AA9" s="94"/>
      <c r="AB9" s="95"/>
      <c r="AC9" s="32"/>
      <c r="AD9" s="32"/>
      <c r="AE9" s="42"/>
    </row>
    <row r="10" spans="2:31" ht="15" customHeight="1" thickBot="1" x14ac:dyDescent="0.3">
      <c r="B10" s="41"/>
      <c r="C10" s="88"/>
      <c r="D10" s="59">
        <v>2019</v>
      </c>
      <c r="E10" s="60">
        <v>126</v>
      </c>
      <c r="F10" s="60">
        <v>71</v>
      </c>
      <c r="G10" s="60">
        <v>1.8</v>
      </c>
      <c r="H10" s="60">
        <v>0.9</v>
      </c>
      <c r="I10" s="60">
        <v>10</v>
      </c>
      <c r="J10" s="50">
        <f t="shared" si="10"/>
        <v>163.67000000000002</v>
      </c>
      <c r="K10" s="51">
        <f t="shared" si="4"/>
        <v>0.38095238095238093</v>
      </c>
      <c r="L10" s="51">
        <f t="shared" si="5"/>
        <v>-0.11267605633802824</v>
      </c>
      <c r="M10" s="51">
        <f t="shared" si="6"/>
        <v>0.11111111111111105</v>
      </c>
      <c r="N10" s="51">
        <f t="shared" si="7"/>
        <v>0.22222222222222232</v>
      </c>
      <c r="O10" s="51">
        <f t="shared" si="8"/>
        <v>0</v>
      </c>
      <c r="P10" s="52">
        <f t="shared" si="9"/>
        <v>-3.4398484755911118E-2</v>
      </c>
      <c r="Q10" s="14"/>
      <c r="R10" s="14"/>
      <c r="S10" s="14"/>
      <c r="T10" s="14"/>
      <c r="U10" s="14"/>
      <c r="V10" s="32"/>
      <c r="W10" s="96"/>
      <c r="X10" s="97"/>
      <c r="Y10" s="97"/>
      <c r="Z10" s="97"/>
      <c r="AA10" s="97"/>
      <c r="AB10" s="98"/>
      <c r="AC10" s="33"/>
      <c r="AD10" s="33"/>
      <c r="AE10" s="42"/>
    </row>
    <row r="11" spans="2:31" ht="21.75" thickBot="1" x14ac:dyDescent="0.4">
      <c r="B11" s="41"/>
      <c r="C11" s="88"/>
      <c r="D11" s="59">
        <v>2020</v>
      </c>
      <c r="E11" s="60">
        <v>118.5</v>
      </c>
      <c r="F11" s="60">
        <v>12.6</v>
      </c>
      <c r="G11" s="60">
        <v>0.7</v>
      </c>
      <c r="H11" s="60">
        <v>1.2</v>
      </c>
      <c r="I11" s="60">
        <v>9.9</v>
      </c>
      <c r="J11" s="50">
        <f t="shared" si="10"/>
        <v>158.03999999999996</v>
      </c>
      <c r="K11" s="51">
        <f t="shared" si="4"/>
        <v>-6.3291139240506222E-2</v>
      </c>
      <c r="L11" s="51">
        <f t="shared" si="5"/>
        <v>-4.6349206349206353</v>
      </c>
      <c r="M11" s="51">
        <f t="shared" si="6"/>
        <v>-1.5714285714285716</v>
      </c>
      <c r="N11" s="51">
        <f t="shared" si="7"/>
        <v>0.25</v>
      </c>
      <c r="O11" s="51">
        <f t="shared" si="8"/>
        <v>-1.0101010101010166E-2</v>
      </c>
      <c r="P11" s="52">
        <f t="shared" si="9"/>
        <v>-3.5623892685396452E-2</v>
      </c>
      <c r="Q11" s="14"/>
      <c r="R11" s="14"/>
      <c r="S11" s="14"/>
      <c r="T11" s="14"/>
      <c r="U11" s="14"/>
      <c r="V11" s="34"/>
      <c r="W11" s="2" t="s">
        <v>1</v>
      </c>
      <c r="X11" s="2" t="s">
        <v>2</v>
      </c>
      <c r="Y11" s="2" t="s">
        <v>3</v>
      </c>
      <c r="Z11" s="3" t="s">
        <v>4</v>
      </c>
      <c r="AA11" s="3" t="s">
        <v>36</v>
      </c>
      <c r="AB11" s="3" t="s">
        <v>12</v>
      </c>
      <c r="AC11" s="33"/>
      <c r="AD11" s="33"/>
      <c r="AE11" s="42"/>
    </row>
    <row r="12" spans="2:31" ht="21.75" thickBot="1" x14ac:dyDescent="0.4">
      <c r="B12" s="41"/>
      <c r="C12" s="88"/>
      <c r="D12" s="59">
        <v>2021</v>
      </c>
      <c r="E12" s="60">
        <v>131.321</v>
      </c>
      <c r="F12" s="60">
        <v>12.143000000000001</v>
      </c>
      <c r="G12" s="60">
        <v>0.36199999999999999</v>
      </c>
      <c r="H12" s="60">
        <v>0.91200000000000003</v>
      </c>
      <c r="I12" s="60">
        <v>9.5</v>
      </c>
      <c r="J12" s="50">
        <f t="shared" si="10"/>
        <v>152.40999999999997</v>
      </c>
      <c r="K12" s="51">
        <f t="shared" si="4"/>
        <v>9.7630995804174447E-2</v>
      </c>
      <c r="L12" s="51">
        <f t="shared" si="5"/>
        <v>-3.7634851354689802E-2</v>
      </c>
      <c r="M12" s="51">
        <f t="shared" si="6"/>
        <v>-0.93370165745856348</v>
      </c>
      <c r="N12" s="51">
        <f t="shared" si="7"/>
        <v>-0.3157894736842104</v>
      </c>
      <c r="O12" s="51">
        <f t="shared" si="8"/>
        <v>-4.2105263157894868E-2</v>
      </c>
      <c r="P12" s="52">
        <f t="shared" si="9"/>
        <v>-3.6939833344268758E-2</v>
      </c>
      <c r="Q12" s="14"/>
      <c r="R12" s="14"/>
      <c r="S12" s="14"/>
      <c r="T12" s="14"/>
      <c r="U12" s="14"/>
      <c r="V12" s="34"/>
      <c r="W12" s="4">
        <f>AB14</f>
        <v>4.5833333333333337E-2</v>
      </c>
      <c r="X12" s="4">
        <f>AB15</f>
        <v>2.5000000000000005E-2</v>
      </c>
      <c r="Y12" s="4">
        <f>AB16</f>
        <v>1.6666666666666659E-2</v>
      </c>
      <c r="Z12" s="5">
        <f>AB17</f>
        <v>1.666666666666667E-2</v>
      </c>
      <c r="AA12" s="5">
        <f>AC17</f>
        <v>0</v>
      </c>
      <c r="AB12" s="6">
        <f>AB19</f>
        <v>3.3254577672770229E-2</v>
      </c>
      <c r="AC12" s="33"/>
      <c r="AD12" s="33"/>
      <c r="AE12" s="42"/>
    </row>
    <row r="13" spans="2:31" ht="15.75" x14ac:dyDescent="0.25">
      <c r="B13" s="41"/>
      <c r="C13" s="88"/>
      <c r="D13" s="59">
        <v>2022</v>
      </c>
      <c r="E13" s="60">
        <v>118.5</v>
      </c>
      <c r="F13" s="60">
        <v>12.6</v>
      </c>
      <c r="G13" s="60">
        <v>0.7</v>
      </c>
      <c r="H13" s="60">
        <v>1.2</v>
      </c>
      <c r="I13" s="60">
        <v>9.9</v>
      </c>
      <c r="J13" s="50">
        <f t="shared" si="10"/>
        <v>146.78</v>
      </c>
      <c r="K13" s="51">
        <f t="shared" si="4"/>
        <v>-0.10819409282700421</v>
      </c>
      <c r="L13" s="51">
        <f t="shared" si="5"/>
        <v>3.626984126984123E-2</v>
      </c>
      <c r="M13" s="51">
        <f t="shared" si="6"/>
        <v>0.48285714285714287</v>
      </c>
      <c r="N13" s="51">
        <f t="shared" si="7"/>
        <v>0.24</v>
      </c>
      <c r="O13" s="51">
        <f t="shared" si="8"/>
        <v>4.0404040404040442E-2</v>
      </c>
      <c r="P13" s="52">
        <f t="shared" si="9"/>
        <v>-3.83567243493661E-2</v>
      </c>
      <c r="Q13" s="14"/>
      <c r="R13" s="14"/>
      <c r="S13" s="14"/>
      <c r="T13" s="14"/>
      <c r="U13" s="14"/>
      <c r="V13" s="34"/>
      <c r="W13" s="16"/>
      <c r="X13" s="14"/>
      <c r="Y13" s="14"/>
      <c r="Z13" s="14"/>
      <c r="AA13" s="14"/>
      <c r="AB13" s="8"/>
      <c r="AC13" s="33"/>
      <c r="AD13" s="33"/>
      <c r="AE13" s="42"/>
    </row>
    <row r="14" spans="2:31" ht="15.75" x14ac:dyDescent="0.25">
      <c r="B14" s="41"/>
      <c r="C14" s="88"/>
      <c r="D14" s="59">
        <v>2023</v>
      </c>
      <c r="E14" s="60">
        <v>131.321</v>
      </c>
      <c r="F14" s="60">
        <v>12.143000000000001</v>
      </c>
      <c r="G14" s="60">
        <v>0.36199999999999999</v>
      </c>
      <c r="H14" s="60">
        <v>0.91200000000000003</v>
      </c>
      <c r="I14" s="60">
        <v>9.5</v>
      </c>
      <c r="J14" s="50">
        <f t="shared" si="10"/>
        <v>141.14999999999998</v>
      </c>
      <c r="K14" s="51">
        <f t="shared" si="4"/>
        <v>9.7630995804174447E-2</v>
      </c>
      <c r="L14" s="51">
        <f t="shared" si="5"/>
        <v>-3.7634851354689802E-2</v>
      </c>
      <c r="M14" s="51">
        <f t="shared" si="6"/>
        <v>-0.93370165745856348</v>
      </c>
      <c r="N14" s="51">
        <f t="shared" si="7"/>
        <v>-0.3157894736842104</v>
      </c>
      <c r="O14" s="51">
        <f t="shared" si="8"/>
        <v>-4.2105263157894868E-2</v>
      </c>
      <c r="P14" s="52">
        <f t="shared" si="9"/>
        <v>-3.9886645412681609E-2</v>
      </c>
      <c r="Q14" s="14"/>
      <c r="R14" s="14"/>
      <c r="S14" s="14"/>
      <c r="T14" s="14"/>
      <c r="U14" s="14"/>
      <c r="V14" s="34"/>
      <c r="W14" s="17"/>
      <c r="X14" s="18"/>
      <c r="Y14" s="19"/>
      <c r="Z14" s="20" t="s">
        <v>13</v>
      </c>
      <c r="AA14" s="20"/>
      <c r="AB14" s="9">
        <f>(AB25-AB26)/AB25/(2030-D40)</f>
        <v>4.5833333333333337E-2</v>
      </c>
      <c r="AC14" s="33"/>
      <c r="AD14" s="33"/>
      <c r="AE14" s="42"/>
    </row>
    <row r="15" spans="2:31" ht="15.75" x14ac:dyDescent="0.25">
      <c r="B15" s="41"/>
      <c r="C15" s="88"/>
      <c r="D15" s="59">
        <v>2024</v>
      </c>
      <c r="E15" s="60">
        <v>118.5</v>
      </c>
      <c r="F15" s="60">
        <v>12.6</v>
      </c>
      <c r="G15" s="60">
        <v>0.7</v>
      </c>
      <c r="H15" s="60">
        <v>1.2</v>
      </c>
      <c r="I15" s="60">
        <v>9.9</v>
      </c>
      <c r="J15" s="50">
        <f t="shared" si="10"/>
        <v>135.52000000000004</v>
      </c>
      <c r="K15" s="51">
        <f t="shared" si="4"/>
        <v>-0.10819409282700421</v>
      </c>
      <c r="L15" s="51">
        <f t="shared" si="5"/>
        <v>3.626984126984123E-2</v>
      </c>
      <c r="M15" s="51">
        <f t="shared" si="6"/>
        <v>0.48285714285714287</v>
      </c>
      <c r="N15" s="51">
        <f t="shared" si="7"/>
        <v>0.24</v>
      </c>
      <c r="O15" s="51">
        <f t="shared" si="8"/>
        <v>4.0404040404040442E-2</v>
      </c>
      <c r="P15" s="52">
        <f t="shared" si="9"/>
        <v>-4.1543683589137625E-2</v>
      </c>
      <c r="Q15" s="14"/>
      <c r="R15" s="14"/>
      <c r="S15" s="14"/>
      <c r="T15" s="14"/>
      <c r="U15" s="14"/>
      <c r="V15" s="34"/>
      <c r="W15" s="17"/>
      <c r="X15" s="18"/>
      <c r="Y15" s="21"/>
      <c r="Z15" s="20" t="s">
        <v>14</v>
      </c>
      <c r="AA15" s="20"/>
      <c r="AB15" s="9">
        <f>(AB28-AB29)/AB28/(2030-D40)</f>
        <v>2.5000000000000005E-2</v>
      </c>
      <c r="AC15" s="33"/>
      <c r="AD15" s="33"/>
      <c r="AE15" s="42"/>
    </row>
    <row r="16" spans="2:31" ht="15.75" x14ac:dyDescent="0.25">
      <c r="B16" s="41"/>
      <c r="C16" s="88"/>
      <c r="D16" s="59">
        <v>2025</v>
      </c>
      <c r="E16" s="49">
        <f>IF(D16&gt;=$D$40,VLOOKUP($D$40,$D$6:$I$15,2,FALSE)-ABS($D$40-D16)*$AB$14*VLOOKUP($D$40,$D$6:$I$15,2,FALSE),NA())</f>
        <v>52.974999999999994</v>
      </c>
      <c r="F16" s="49">
        <f>IF(D16&gt;=$D$40,VLOOKUP($D$40,$D$6:$I$15,3,FALSE)-ABS($D$40-D16)*$AB$15*VLOOKUP($D$40,$D$6:$I$15,3,FALSE),NA())</f>
        <v>65.174999999999997</v>
      </c>
      <c r="G16" s="49">
        <f>IF(D16&gt;=$D$40,VLOOKUP($D$40,$D$6:$I$15,4,FALSE)-ABS($D$40-D16)*$AB$16*VLOOKUP($D$40,$D$6:$I$15,4,FALSE),NA())</f>
        <v>1.4133333333333336</v>
      </c>
      <c r="H16" s="49">
        <f>IF(D16&gt;=$D$40,VLOOKUP($D$40,$D$6:$I$15,5,FALSE)-ABS($D$40-D16)*$AB$17*VLOOKUP($D$40,$D$6:$I$15,5,FALSE),NA())</f>
        <v>0.61833333333333329</v>
      </c>
      <c r="I16" s="49">
        <f>IF(D16&gt;=$D$40,VLOOKUP($D$40,$D$6:$I$15,6,FALSE)-ABS($D$40-D16)*$AB$18*VLOOKUP($D$40,$D$6:$I$15,6,FALSE),NA())</f>
        <v>9.7083333333333339</v>
      </c>
      <c r="J16" s="50">
        <f t="shared" si="10"/>
        <v>129.89000000000001</v>
      </c>
      <c r="K16" s="51">
        <f t="shared" si="4"/>
        <v>-1.2369042000943842</v>
      </c>
      <c r="L16" s="51">
        <f t="shared" si="5"/>
        <v>0.80667433831990798</v>
      </c>
      <c r="M16" s="51">
        <f t="shared" si="6"/>
        <v>0.50471698113207553</v>
      </c>
      <c r="N16" s="51">
        <f t="shared" si="7"/>
        <v>-0.940700808625337</v>
      </c>
      <c r="O16" s="51">
        <f t="shared" si="8"/>
        <v>-1.9742489270386132E-2</v>
      </c>
      <c r="P16" s="52">
        <f t="shared" si="9"/>
        <v>-4.3344368311648562E-2</v>
      </c>
      <c r="Q16" s="14"/>
      <c r="R16" s="14"/>
      <c r="S16" s="14"/>
      <c r="T16" s="14"/>
      <c r="U16" s="14"/>
      <c r="V16" s="34"/>
      <c r="W16" s="17"/>
      <c r="X16" s="18"/>
      <c r="Y16" s="21"/>
      <c r="Z16" s="20" t="s">
        <v>15</v>
      </c>
      <c r="AA16" s="20"/>
      <c r="AB16" s="9">
        <f>(AB31-AB32)/AB31/(2030-D40)</f>
        <v>1.6666666666666659E-2</v>
      </c>
      <c r="AC16" s="33"/>
      <c r="AD16" s="33"/>
      <c r="AE16" s="42"/>
    </row>
    <row r="17" spans="2:31" ht="15.75" x14ac:dyDescent="0.25">
      <c r="B17" s="41"/>
      <c r="C17" s="88"/>
      <c r="D17" s="59">
        <v>2026</v>
      </c>
      <c r="E17" s="49">
        <f t="shared" ref="E17:E21" si="11">IF(D17&gt;=$D$40,VLOOKUP($D$40,$D$6:$I$15,2,FALSE)-ABS($D$40-D17)*$AB$14*VLOOKUP($D$40,$D$6:$I$15,2,FALSE),NA())</f>
        <v>49.4</v>
      </c>
      <c r="F17" s="49">
        <f t="shared" ref="F17:F21" si="12">IF(D17&gt;=$D$40,VLOOKUP($D$40,$D$6:$I$15,3,FALSE)-ABS($D$40-D17)*$AB$15*VLOOKUP($D$40,$D$6:$I$15,3,FALSE),NA())</f>
        <v>63.199999999999996</v>
      </c>
      <c r="G17" s="49">
        <f t="shared" ref="G17:G21" si="13">IF(D17&gt;=$D$40,VLOOKUP($D$40,$D$6:$I$15,4,FALSE)-ABS($D$40-D17)*$AB$16*VLOOKUP($D$40,$D$6:$I$15,4,FALSE),NA())</f>
        <v>1.3866666666666667</v>
      </c>
      <c r="H17" s="49">
        <f t="shared" ref="H17:H21" si="14">IF(D17&gt;=$D$40,VLOOKUP($D$40,$D$6:$I$15,5,FALSE)-ABS($D$40-D17)*$AB$17*VLOOKUP($D$40,$D$6:$I$15,5,FALSE),NA())</f>
        <v>0.60666666666666658</v>
      </c>
      <c r="I17" s="49">
        <f t="shared" ref="I17:I20" si="15">IF(D17&gt;=$D$40,VLOOKUP($D$40,$D$6:$I$15,6,FALSE)-ABS($D$40-D17)*$AB$18*VLOOKUP($D$40,$D$6:$I$15,6,FALSE),NA())</f>
        <v>9.6666666666666661</v>
      </c>
      <c r="J17" s="50">
        <f t="shared" si="10"/>
        <v>124.26</v>
      </c>
      <c r="K17" s="51">
        <f t="shared" si="4"/>
        <v>-7.2368421052631415E-2</v>
      </c>
      <c r="L17" s="51">
        <f t="shared" si="5"/>
        <v>-3.125E-2</v>
      </c>
      <c r="M17" s="51">
        <f t="shared" si="6"/>
        <v>-1.9230769230769384E-2</v>
      </c>
      <c r="N17" s="51">
        <f t="shared" si="7"/>
        <v>-1.9230769230769384E-2</v>
      </c>
      <c r="O17" s="51">
        <f t="shared" si="8"/>
        <v>-4.3103448275862988E-3</v>
      </c>
      <c r="P17" s="52">
        <f t="shared" si="9"/>
        <v>-4.5308224690165932E-2</v>
      </c>
      <c r="Q17" s="14"/>
      <c r="R17" s="14"/>
      <c r="S17" s="14"/>
      <c r="T17" s="14"/>
      <c r="U17" s="14"/>
      <c r="V17" s="34"/>
      <c r="W17" s="17"/>
      <c r="X17" s="18"/>
      <c r="Y17" s="21"/>
      <c r="Z17" s="20" t="s">
        <v>16</v>
      </c>
      <c r="AA17" s="20"/>
      <c r="AB17" s="9">
        <f>(AB34-AB35)/AB34/(2030-D40)</f>
        <v>1.666666666666667E-2</v>
      </c>
      <c r="AC17" s="33"/>
      <c r="AD17" s="33"/>
      <c r="AE17" s="42"/>
    </row>
    <row r="18" spans="2:31" ht="15.75" x14ac:dyDescent="0.25">
      <c r="B18" s="41"/>
      <c r="C18" s="88"/>
      <c r="D18" s="59">
        <v>2027</v>
      </c>
      <c r="E18" s="49">
        <f t="shared" si="11"/>
        <v>45.824999999999996</v>
      </c>
      <c r="F18" s="49">
        <f t="shared" si="12"/>
        <v>61.224999999999994</v>
      </c>
      <c r="G18" s="49">
        <f t="shared" si="13"/>
        <v>1.36</v>
      </c>
      <c r="H18" s="49">
        <f t="shared" si="14"/>
        <v>0.59499999999999997</v>
      </c>
      <c r="I18" s="49">
        <f t="shared" si="15"/>
        <v>9.625</v>
      </c>
      <c r="J18" s="50">
        <f t="shared" si="10"/>
        <v>118.62999999999998</v>
      </c>
      <c r="K18" s="51">
        <f t="shared" si="4"/>
        <v>-7.8014184397163122E-2</v>
      </c>
      <c r="L18" s="51">
        <f t="shared" si="5"/>
        <v>-3.2258064516129004E-2</v>
      </c>
      <c r="M18" s="51">
        <f t="shared" si="6"/>
        <v>-1.9607843137254832E-2</v>
      </c>
      <c r="N18" s="51">
        <f t="shared" si="7"/>
        <v>-1.9607843137254832E-2</v>
      </c>
      <c r="O18" s="51">
        <f t="shared" si="8"/>
        <v>-4.3290043290042934E-3</v>
      </c>
      <c r="P18" s="52">
        <f t="shared" si="9"/>
        <v>-4.7458484363146036E-2</v>
      </c>
      <c r="Q18" s="14"/>
      <c r="R18" s="14"/>
      <c r="S18" s="14"/>
      <c r="T18" s="14"/>
      <c r="U18" s="14"/>
      <c r="V18" s="34"/>
      <c r="W18" s="17"/>
      <c r="X18" s="18"/>
      <c r="Y18" s="21"/>
      <c r="Z18" s="20" t="s">
        <v>37</v>
      </c>
      <c r="AA18" s="20"/>
      <c r="AB18" s="9">
        <f>(AB37-AB38)/AB37/(2030-D40)</f>
        <v>4.1666666666666666E-3</v>
      </c>
      <c r="AC18" s="33"/>
      <c r="AD18" s="33"/>
      <c r="AE18" s="42"/>
    </row>
    <row r="19" spans="2:31" ht="15.75" x14ac:dyDescent="0.25">
      <c r="B19" s="41"/>
      <c r="C19" s="88"/>
      <c r="D19" s="59">
        <v>2028</v>
      </c>
      <c r="E19" s="49">
        <f t="shared" si="11"/>
        <v>42.25</v>
      </c>
      <c r="F19" s="49">
        <f t="shared" si="12"/>
        <v>59.25</v>
      </c>
      <c r="G19" s="49">
        <f t="shared" si="13"/>
        <v>1.3333333333333335</v>
      </c>
      <c r="H19" s="49">
        <f t="shared" si="14"/>
        <v>0.58333333333333326</v>
      </c>
      <c r="I19" s="49">
        <f t="shared" si="15"/>
        <v>9.5833333333333339</v>
      </c>
      <c r="J19" s="50">
        <f t="shared" si="10"/>
        <v>113</v>
      </c>
      <c r="K19" s="51">
        <f t="shared" si="4"/>
        <v>-8.4615384615384537E-2</v>
      </c>
      <c r="L19" s="51">
        <f t="shared" si="5"/>
        <v>-3.3333333333333215E-2</v>
      </c>
      <c r="M19" s="51">
        <f t="shared" si="6"/>
        <v>-2.0000000000000018E-2</v>
      </c>
      <c r="N19" s="51">
        <f t="shared" si="7"/>
        <v>-2.0000000000000018E-2</v>
      </c>
      <c r="O19" s="51">
        <f t="shared" si="8"/>
        <v>-4.3478260869564966E-3</v>
      </c>
      <c r="P19" s="52">
        <f t="shared" si="9"/>
        <v>-4.982300884955726E-2</v>
      </c>
      <c r="Q19" s="14"/>
      <c r="R19" s="14"/>
      <c r="S19" s="14"/>
      <c r="T19" s="14"/>
      <c r="U19" s="14"/>
      <c r="V19" s="34"/>
      <c r="W19" s="17"/>
      <c r="X19" s="18"/>
      <c r="Y19" s="21"/>
      <c r="Z19" s="20" t="s">
        <v>17</v>
      </c>
      <c r="AA19" s="20"/>
      <c r="AB19" s="9">
        <f>(AB22-AB23)/AB22/(2030-D40)</f>
        <v>3.3254577672770229E-2</v>
      </c>
      <c r="AC19" s="33"/>
      <c r="AD19" s="33"/>
      <c r="AE19" s="42"/>
    </row>
    <row r="20" spans="2:31" ht="15.75" x14ac:dyDescent="0.25">
      <c r="B20" s="41"/>
      <c r="C20" s="88"/>
      <c r="D20" s="59">
        <v>2029</v>
      </c>
      <c r="E20" s="49">
        <f t="shared" si="11"/>
        <v>38.675000000000004</v>
      </c>
      <c r="F20" s="49">
        <f t="shared" si="12"/>
        <v>57.274999999999991</v>
      </c>
      <c r="G20" s="49">
        <f t="shared" si="13"/>
        <v>1.3066666666666669</v>
      </c>
      <c r="H20" s="49">
        <f t="shared" si="14"/>
        <v>0.57166666666666655</v>
      </c>
      <c r="I20" s="49">
        <f t="shared" si="15"/>
        <v>9.5416666666666661</v>
      </c>
      <c r="J20" s="50">
        <f t="shared" si="10"/>
        <v>107.37</v>
      </c>
      <c r="K20" s="51">
        <f>1-E19/E20</f>
        <v>-9.243697478991586E-2</v>
      </c>
      <c r="L20" s="51">
        <f t="shared" si="5"/>
        <v>-3.4482758620689724E-2</v>
      </c>
      <c r="M20" s="51">
        <f t="shared" si="6"/>
        <v>-2.0408163265306145E-2</v>
      </c>
      <c r="N20" s="51">
        <f t="shared" si="7"/>
        <v>-2.0408163265306145E-2</v>
      </c>
      <c r="O20" s="51">
        <f t="shared" si="8"/>
        <v>-4.366812227074357E-3</v>
      </c>
      <c r="P20" s="52">
        <f t="shared" si="9"/>
        <v>-5.2435503399459682E-2</v>
      </c>
      <c r="Q20" s="14"/>
      <c r="R20" s="14"/>
      <c r="S20" s="14"/>
      <c r="T20" s="14"/>
      <c r="U20" s="14"/>
      <c r="V20" s="34"/>
      <c r="W20" s="17"/>
      <c r="X20" s="18"/>
      <c r="Y20" s="21"/>
      <c r="Z20" s="22"/>
      <c r="AA20" s="22"/>
      <c r="AB20" s="31"/>
      <c r="AC20" s="33"/>
      <c r="AD20" s="33"/>
      <c r="AE20" s="42"/>
    </row>
    <row r="21" spans="2:31" ht="14.1" customHeight="1" thickBot="1" x14ac:dyDescent="0.3">
      <c r="B21" s="41"/>
      <c r="C21" s="89"/>
      <c r="D21" s="59">
        <v>2030</v>
      </c>
      <c r="E21" s="49">
        <f t="shared" si="11"/>
        <v>35.099999999999994</v>
      </c>
      <c r="F21" s="49">
        <f t="shared" si="12"/>
        <v>55.3</v>
      </c>
      <c r="G21" s="49">
        <f t="shared" si="13"/>
        <v>1.2800000000000002</v>
      </c>
      <c r="H21" s="49">
        <f t="shared" si="14"/>
        <v>0.55999999999999994</v>
      </c>
      <c r="I21" s="49">
        <f>IF(D21&gt;=$D$40,VLOOKUP($D$40,$D$6:$I$15,6,FALSE)-ABS($D$40-D21)*$AB$18*VLOOKUP($D$40,$D$6:$I$15,6,FALSE),NA())</f>
        <v>9.5</v>
      </c>
      <c r="J21" s="50">
        <f t="shared" si="10"/>
        <v>101.74</v>
      </c>
      <c r="K21" s="51">
        <f t="shared" ref="K21" si="16">1-E20/E21</f>
        <v>-0.10185185185185208</v>
      </c>
      <c r="L21" s="51">
        <f t="shared" ref="L21" si="17">1-F20/F21</f>
        <v>-3.5714285714285587E-2</v>
      </c>
      <c r="M21" s="51">
        <f t="shared" ref="M21" si="18">1-G20/G21</f>
        <v>-2.0833333333333259E-2</v>
      </c>
      <c r="N21" s="51">
        <f t="shared" ref="N21" si="19">1-H20/H21</f>
        <v>-2.0833333333333259E-2</v>
      </c>
      <c r="O21" s="51">
        <f t="shared" ref="O21" si="20">1-I20/I21</f>
        <v>-4.3859649122806044E-3</v>
      </c>
      <c r="P21" s="52">
        <f t="shared" si="9"/>
        <v>-5.5337133870650757E-2</v>
      </c>
      <c r="Q21" s="14"/>
      <c r="R21" s="14"/>
      <c r="S21" s="14"/>
      <c r="T21" s="14"/>
      <c r="U21" s="14"/>
      <c r="V21" s="34"/>
      <c r="W21" s="17"/>
      <c r="X21" s="18"/>
      <c r="Y21" s="21"/>
      <c r="Z21" s="22"/>
      <c r="AA21" s="22"/>
      <c r="AB21" s="31"/>
      <c r="AC21" s="33"/>
      <c r="AD21" s="33"/>
      <c r="AE21" s="42"/>
    </row>
    <row r="22" spans="2:31" ht="15" customHeight="1" x14ac:dyDescent="0.25">
      <c r="B22" s="41"/>
      <c r="C22" s="64" t="s">
        <v>43</v>
      </c>
      <c r="D22" s="65"/>
      <c r="E22" s="65"/>
      <c r="F22" s="65"/>
      <c r="G22" s="65"/>
      <c r="H22" s="65"/>
      <c r="I22" s="65"/>
      <c r="J22" s="65"/>
      <c r="K22" s="65"/>
      <c r="L22" s="65"/>
      <c r="M22" s="65"/>
      <c r="N22" s="65"/>
      <c r="O22" s="65"/>
      <c r="P22" s="99"/>
      <c r="Q22" s="14"/>
      <c r="R22" s="14"/>
      <c r="S22" s="14"/>
      <c r="T22" s="14"/>
      <c r="U22" s="14"/>
      <c r="V22" s="35"/>
      <c r="W22" s="17"/>
      <c r="X22" s="18"/>
      <c r="Y22" s="21"/>
      <c r="Z22" s="20" t="s">
        <v>18</v>
      </c>
      <c r="AA22" s="20"/>
      <c r="AB22" s="10">
        <f>VLOOKUP(D40,D6:I15,2,FALSE) + VLOOKUP(D40,D6:I15,3,FALSE) + VLOOKUP(D40,D6:I15,4,FALSE) + VLOOKUP(D40,D6:I15,5,FALSE) + VLOOKUP(D40,D6:I15,6,FALSE)</f>
        <v>169.29999999999998</v>
      </c>
      <c r="AC22" s="14"/>
      <c r="AD22" s="14"/>
      <c r="AE22" s="42"/>
    </row>
    <row r="23" spans="2:31" ht="15" customHeight="1" x14ac:dyDescent="0.25">
      <c r="B23" s="41"/>
      <c r="C23" s="100"/>
      <c r="D23" s="101"/>
      <c r="E23" s="101"/>
      <c r="F23" s="101"/>
      <c r="G23" s="101"/>
      <c r="H23" s="101"/>
      <c r="I23" s="101"/>
      <c r="J23" s="101"/>
      <c r="K23" s="101"/>
      <c r="L23" s="101"/>
      <c r="M23" s="101"/>
      <c r="N23" s="101"/>
      <c r="O23" s="101"/>
      <c r="P23" s="102"/>
      <c r="Q23" s="14"/>
      <c r="R23" s="14"/>
      <c r="S23" s="14"/>
      <c r="T23" s="14"/>
      <c r="U23" s="14"/>
      <c r="V23" s="35"/>
      <c r="W23" s="17"/>
      <c r="X23" s="18"/>
      <c r="Y23" s="21"/>
      <c r="Z23" s="20" t="s">
        <v>19</v>
      </c>
      <c r="AA23" s="20"/>
      <c r="AB23" s="10">
        <f>AB26+AB29+AB32+AB35+AB38</f>
        <v>101.74</v>
      </c>
      <c r="AC23" s="14"/>
      <c r="AD23" s="14"/>
      <c r="AE23" s="42"/>
    </row>
    <row r="24" spans="2:31" x14ac:dyDescent="0.25">
      <c r="B24" s="41"/>
      <c r="C24" s="103"/>
      <c r="D24" s="104"/>
      <c r="E24" s="104"/>
      <c r="F24" s="104"/>
      <c r="G24" s="104"/>
      <c r="H24" s="104"/>
      <c r="I24" s="104"/>
      <c r="J24" s="104"/>
      <c r="K24" s="104"/>
      <c r="L24" s="104"/>
      <c r="M24" s="104"/>
      <c r="N24" s="104"/>
      <c r="O24" s="104"/>
      <c r="P24" s="105"/>
      <c r="Q24" s="14"/>
      <c r="R24" s="14"/>
      <c r="S24" s="14"/>
      <c r="T24" s="14"/>
      <c r="U24" s="14"/>
      <c r="V24" s="35"/>
      <c r="W24" s="23"/>
      <c r="X24" s="18"/>
      <c r="Y24" s="21"/>
      <c r="Z24" s="20"/>
      <c r="AA24" s="20"/>
      <c r="AB24" s="11"/>
      <c r="AC24" s="14"/>
      <c r="AD24" s="14"/>
      <c r="AE24" s="42"/>
    </row>
    <row r="25" spans="2:31" ht="15.75" thickBot="1" x14ac:dyDescent="0.3">
      <c r="B25" s="41"/>
      <c r="C25" s="106"/>
      <c r="D25" s="107"/>
      <c r="E25" s="107"/>
      <c r="F25" s="107"/>
      <c r="G25" s="107"/>
      <c r="H25" s="107"/>
      <c r="I25" s="107"/>
      <c r="J25" s="107"/>
      <c r="K25" s="107"/>
      <c r="L25" s="107"/>
      <c r="M25" s="107"/>
      <c r="N25" s="107"/>
      <c r="O25" s="107"/>
      <c r="P25" s="108"/>
      <c r="Q25" s="14"/>
      <c r="R25" s="14"/>
      <c r="S25" s="14"/>
      <c r="T25" s="14"/>
      <c r="U25" s="32"/>
      <c r="V25" s="32"/>
      <c r="W25" s="23"/>
      <c r="X25" s="18"/>
      <c r="Y25" s="21"/>
      <c r="Z25" s="20" t="s">
        <v>20</v>
      </c>
      <c r="AA25" s="20"/>
      <c r="AB25" s="10">
        <f>VLOOKUP(D40,D6:I15,2,FALSE)</f>
        <v>78</v>
      </c>
      <c r="AC25" s="14"/>
      <c r="AD25" s="14"/>
      <c r="AE25" s="42"/>
    </row>
    <row r="26" spans="2:31" x14ac:dyDescent="0.25">
      <c r="B26" s="41"/>
      <c r="C26" s="14"/>
      <c r="D26" s="36"/>
      <c r="E26" s="14"/>
      <c r="F26" s="14"/>
      <c r="G26" s="14"/>
      <c r="H26" s="14"/>
      <c r="I26" s="14"/>
      <c r="J26" s="14"/>
      <c r="K26" s="14"/>
      <c r="L26" s="14"/>
      <c r="M26" s="14"/>
      <c r="N26" s="14"/>
      <c r="O26" s="14"/>
      <c r="P26" s="14"/>
      <c r="Q26" s="14"/>
      <c r="R26" s="14"/>
      <c r="S26" s="14"/>
      <c r="T26" s="14"/>
      <c r="U26" s="14"/>
      <c r="V26" s="14"/>
      <c r="W26" s="23"/>
      <c r="X26" s="18"/>
      <c r="Y26" s="21"/>
      <c r="Z26" s="20" t="s">
        <v>21</v>
      </c>
      <c r="AA26" s="20"/>
      <c r="AB26" s="10">
        <f>(1-E40)*AB25</f>
        <v>35.099999999999994</v>
      </c>
      <c r="AC26" s="14"/>
      <c r="AD26" s="14"/>
      <c r="AE26" s="42"/>
    </row>
    <row r="27" spans="2:31" x14ac:dyDescent="0.25">
      <c r="B27" s="41"/>
      <c r="C27" s="14"/>
      <c r="D27" s="36"/>
      <c r="E27" s="14"/>
      <c r="F27" s="14"/>
      <c r="G27" s="14"/>
      <c r="H27" s="14"/>
      <c r="I27" s="14"/>
      <c r="J27" s="14"/>
      <c r="K27" s="14"/>
      <c r="L27" s="14"/>
      <c r="M27" s="14"/>
      <c r="N27" s="14"/>
      <c r="O27" s="14"/>
      <c r="P27" s="14"/>
      <c r="Q27" s="14"/>
      <c r="R27" s="14"/>
      <c r="S27" s="14"/>
      <c r="T27" s="14"/>
      <c r="U27" s="14"/>
      <c r="V27" s="14"/>
      <c r="W27" s="24"/>
      <c r="X27" s="25"/>
      <c r="Y27" s="26"/>
      <c r="Z27" s="20"/>
      <c r="AA27" s="20"/>
      <c r="AB27" s="11"/>
      <c r="AC27" s="14"/>
      <c r="AD27" s="14"/>
      <c r="AE27" s="42"/>
    </row>
    <row r="28" spans="2:31" x14ac:dyDescent="0.25">
      <c r="B28" s="41"/>
      <c r="C28" s="14"/>
      <c r="D28" s="36"/>
      <c r="E28" s="14"/>
      <c r="F28" s="14"/>
      <c r="G28" s="14"/>
      <c r="H28" s="14"/>
      <c r="I28" s="14"/>
      <c r="J28" s="14"/>
      <c r="K28" s="14"/>
      <c r="L28" s="14"/>
      <c r="M28" s="14"/>
      <c r="N28" s="14"/>
      <c r="O28" s="14"/>
      <c r="P28" s="14"/>
      <c r="Q28" s="14"/>
      <c r="R28" s="14"/>
      <c r="S28" s="14"/>
      <c r="T28" s="14"/>
      <c r="U28" s="14"/>
      <c r="V28" s="14"/>
      <c r="W28" s="27"/>
      <c r="X28" s="26"/>
      <c r="Y28" s="26"/>
      <c r="Z28" s="20" t="s">
        <v>22</v>
      </c>
      <c r="AA28" s="20"/>
      <c r="AB28" s="10">
        <f>VLOOKUP(D40,D6:I15,3,FALSE)</f>
        <v>79</v>
      </c>
      <c r="AC28" s="14"/>
      <c r="AD28" s="14"/>
      <c r="AE28" s="42"/>
    </row>
    <row r="29" spans="2:31" x14ac:dyDescent="0.25">
      <c r="B29" s="41"/>
      <c r="C29" s="14"/>
      <c r="D29" s="36"/>
      <c r="E29" s="14"/>
      <c r="F29" s="14"/>
      <c r="G29" s="14"/>
      <c r="H29" s="14"/>
      <c r="I29" s="14"/>
      <c r="J29" s="14"/>
      <c r="K29" s="14"/>
      <c r="L29" s="14"/>
      <c r="M29" s="14"/>
      <c r="N29" s="14"/>
      <c r="O29" s="14"/>
      <c r="P29" s="14"/>
      <c r="Q29" s="14"/>
      <c r="R29" s="14"/>
      <c r="S29" s="14"/>
      <c r="T29" s="14"/>
      <c r="U29" s="14"/>
      <c r="V29" s="14"/>
      <c r="W29" s="27"/>
      <c r="X29" s="26"/>
      <c r="Y29" s="26"/>
      <c r="Z29" s="20" t="s">
        <v>23</v>
      </c>
      <c r="AA29" s="20"/>
      <c r="AB29" s="10">
        <f>(1-F40)*AB28</f>
        <v>55.3</v>
      </c>
      <c r="AC29" s="14"/>
      <c r="AD29" s="14"/>
      <c r="AE29" s="42"/>
    </row>
    <row r="30" spans="2:31" x14ac:dyDescent="0.25">
      <c r="B30" s="41"/>
      <c r="C30" s="14"/>
      <c r="D30" s="36"/>
      <c r="E30" s="14"/>
      <c r="F30" s="14"/>
      <c r="G30" s="14"/>
      <c r="H30" s="14"/>
      <c r="I30" s="14"/>
      <c r="J30" s="14"/>
      <c r="K30" s="14"/>
      <c r="L30" s="14"/>
      <c r="M30" s="14"/>
      <c r="N30" s="14"/>
      <c r="O30" s="14"/>
      <c r="P30" s="14"/>
      <c r="Q30" s="14"/>
      <c r="R30" s="14"/>
      <c r="S30" s="14"/>
      <c r="T30" s="14"/>
      <c r="U30" s="14"/>
      <c r="V30" s="14"/>
      <c r="W30" s="27"/>
      <c r="X30" s="26"/>
      <c r="Y30" s="26"/>
      <c r="Z30" s="20"/>
      <c r="AA30" s="20"/>
      <c r="AB30" s="12"/>
      <c r="AC30" s="14"/>
      <c r="AD30" s="14"/>
      <c r="AE30" s="42"/>
    </row>
    <row r="31" spans="2:31" x14ac:dyDescent="0.25">
      <c r="B31" s="41"/>
      <c r="C31" s="14"/>
      <c r="D31" s="36"/>
      <c r="E31" s="14"/>
      <c r="F31" s="14"/>
      <c r="G31" s="14"/>
      <c r="H31" s="14"/>
      <c r="I31" s="14"/>
      <c r="J31" s="14"/>
      <c r="K31" s="14"/>
      <c r="L31" s="14"/>
      <c r="M31" s="14"/>
      <c r="N31" s="14"/>
      <c r="O31" s="14"/>
      <c r="P31" s="14"/>
      <c r="Q31" s="14"/>
      <c r="R31" s="14"/>
      <c r="S31" s="14"/>
      <c r="T31" s="14"/>
      <c r="U31" s="14"/>
      <c r="V31" s="14"/>
      <c r="W31" s="27"/>
      <c r="X31" s="26"/>
      <c r="Y31" s="26"/>
      <c r="Z31" s="20" t="s">
        <v>24</v>
      </c>
      <c r="AA31" s="20"/>
      <c r="AB31" s="10">
        <f>VLOOKUP(D40,D6:I15,4,FALSE)</f>
        <v>1.6</v>
      </c>
      <c r="AC31" s="14"/>
      <c r="AD31" s="14"/>
      <c r="AE31" s="42"/>
    </row>
    <row r="32" spans="2:31" x14ac:dyDescent="0.25">
      <c r="B32" s="41"/>
      <c r="C32" s="14"/>
      <c r="D32" s="36"/>
      <c r="E32" s="14"/>
      <c r="F32" s="14"/>
      <c r="G32" s="14"/>
      <c r="H32" s="14"/>
      <c r="I32" s="14"/>
      <c r="J32" s="14"/>
      <c r="K32" s="14"/>
      <c r="L32" s="14"/>
      <c r="M32" s="14"/>
      <c r="N32" s="14"/>
      <c r="O32" s="14"/>
      <c r="P32" s="14"/>
      <c r="Q32" s="14"/>
      <c r="R32" s="14"/>
      <c r="S32" s="14"/>
      <c r="T32" s="14"/>
      <c r="U32" s="14"/>
      <c r="V32" s="14"/>
      <c r="W32" s="27"/>
      <c r="X32" s="26"/>
      <c r="Y32" s="26"/>
      <c r="Z32" s="20" t="s">
        <v>25</v>
      </c>
      <c r="AA32" s="20"/>
      <c r="AB32" s="10">
        <f>(1-G40)*AB31</f>
        <v>1.2800000000000002</v>
      </c>
      <c r="AC32" s="14"/>
      <c r="AD32" s="14"/>
      <c r="AE32" s="42"/>
    </row>
    <row r="33" spans="2:31" x14ac:dyDescent="0.25">
      <c r="B33" s="41"/>
      <c r="C33" s="14"/>
      <c r="D33" s="36"/>
      <c r="E33" s="14"/>
      <c r="F33" s="14"/>
      <c r="G33" s="14"/>
      <c r="H33" s="14"/>
      <c r="I33" s="14"/>
      <c r="J33" s="14"/>
      <c r="K33" s="14"/>
      <c r="L33" s="14"/>
      <c r="M33" s="14"/>
      <c r="N33" s="14"/>
      <c r="O33" s="14"/>
      <c r="P33" s="14"/>
      <c r="Q33" s="14"/>
      <c r="R33" s="14"/>
      <c r="S33" s="14"/>
      <c r="T33" s="14"/>
      <c r="U33" s="14"/>
      <c r="V33" s="14"/>
      <c r="W33" s="27"/>
      <c r="X33" s="26"/>
      <c r="Y33" s="26"/>
      <c r="Z33" s="20"/>
      <c r="AA33" s="20"/>
      <c r="AB33" s="10"/>
      <c r="AC33" s="14"/>
      <c r="AD33" s="14"/>
      <c r="AE33" s="42"/>
    </row>
    <row r="34" spans="2:31" x14ac:dyDescent="0.25">
      <c r="B34" s="41"/>
      <c r="C34" s="14"/>
      <c r="D34" s="36"/>
      <c r="E34" s="14"/>
      <c r="F34" s="14"/>
      <c r="G34" s="14"/>
      <c r="H34" s="14"/>
      <c r="I34" s="14"/>
      <c r="J34" s="14"/>
      <c r="K34" s="14"/>
      <c r="L34" s="14"/>
      <c r="M34" s="14"/>
      <c r="N34" s="14"/>
      <c r="O34" s="14"/>
      <c r="P34" s="14"/>
      <c r="Q34" s="14"/>
      <c r="R34" s="14"/>
      <c r="S34" s="14"/>
      <c r="T34" s="14"/>
      <c r="U34" s="14"/>
      <c r="V34" s="14"/>
      <c r="W34" s="27"/>
      <c r="X34" s="26"/>
      <c r="Y34" s="26"/>
      <c r="Z34" s="20" t="s">
        <v>26</v>
      </c>
      <c r="AA34" s="20"/>
      <c r="AB34" s="10">
        <f>VLOOKUP(D40,D6:I15,5,FALSE)</f>
        <v>0.7</v>
      </c>
      <c r="AC34" s="14"/>
      <c r="AD34" s="14"/>
      <c r="AE34" s="42"/>
    </row>
    <row r="35" spans="2:31" x14ac:dyDescent="0.25">
      <c r="B35" s="41"/>
      <c r="C35" s="14"/>
      <c r="D35" s="36"/>
      <c r="E35" s="14"/>
      <c r="F35" s="14"/>
      <c r="G35" s="14"/>
      <c r="H35" s="14"/>
      <c r="I35" s="14"/>
      <c r="J35" s="14"/>
      <c r="K35" s="14"/>
      <c r="L35" s="14"/>
      <c r="M35" s="14"/>
      <c r="N35" s="14"/>
      <c r="O35" s="14"/>
      <c r="P35" s="14"/>
      <c r="Q35" s="14"/>
      <c r="R35" s="14"/>
      <c r="S35" s="14"/>
      <c r="T35" s="14"/>
      <c r="U35" s="14"/>
      <c r="V35" s="14"/>
      <c r="W35" s="27"/>
      <c r="X35" s="26"/>
      <c r="Y35" s="26"/>
      <c r="Z35" s="20" t="s">
        <v>27</v>
      </c>
      <c r="AA35" s="20"/>
      <c r="AB35" s="10">
        <f>(1-H40)*AB34</f>
        <v>0.55999999999999994</v>
      </c>
      <c r="AC35" s="14"/>
      <c r="AD35" s="14"/>
      <c r="AE35" s="42"/>
    </row>
    <row r="36" spans="2:31" ht="13.9" customHeight="1" x14ac:dyDescent="0.25">
      <c r="B36" s="41"/>
      <c r="C36" s="14"/>
      <c r="D36" s="36"/>
      <c r="E36" s="14"/>
      <c r="F36" s="14"/>
      <c r="G36" s="14"/>
      <c r="H36" s="14"/>
      <c r="I36" s="14"/>
      <c r="J36" s="14"/>
      <c r="K36" s="14"/>
      <c r="L36" s="14"/>
      <c r="M36" s="14"/>
      <c r="N36" s="14"/>
      <c r="O36" s="14"/>
      <c r="P36" s="14"/>
      <c r="Q36" s="14"/>
      <c r="R36" s="14"/>
      <c r="S36" s="14"/>
      <c r="T36" s="14"/>
      <c r="U36" s="14"/>
      <c r="V36" s="14"/>
      <c r="W36" s="27"/>
      <c r="X36" s="26"/>
      <c r="Y36" s="26"/>
      <c r="Z36" s="20"/>
      <c r="AA36" s="20"/>
      <c r="AB36" s="10"/>
      <c r="AC36" s="14"/>
      <c r="AD36" s="14"/>
      <c r="AE36" s="42"/>
    </row>
    <row r="37" spans="2:31" x14ac:dyDescent="0.25">
      <c r="B37" s="41"/>
      <c r="C37" s="14"/>
      <c r="D37" s="36"/>
      <c r="E37" s="14"/>
      <c r="F37" s="14"/>
      <c r="G37" s="14"/>
      <c r="H37" s="14"/>
      <c r="I37" s="14"/>
      <c r="J37" s="14"/>
      <c r="K37" s="14"/>
      <c r="L37" s="14"/>
      <c r="M37" s="14"/>
      <c r="N37" s="14"/>
      <c r="O37" s="14"/>
      <c r="P37" s="14"/>
      <c r="Q37" s="14"/>
      <c r="R37" s="14"/>
      <c r="S37" s="14"/>
      <c r="T37" s="14"/>
      <c r="U37" s="14"/>
      <c r="V37" s="14"/>
      <c r="W37" s="27"/>
      <c r="X37" s="26"/>
      <c r="Y37" s="26"/>
      <c r="Z37" s="20" t="s">
        <v>38</v>
      </c>
      <c r="AA37" s="20"/>
      <c r="AB37" s="10">
        <f>VLOOKUP(D40,D6:I15,6,FALSE)</f>
        <v>10</v>
      </c>
      <c r="AC37" s="14"/>
      <c r="AD37" s="14"/>
      <c r="AE37" s="42"/>
    </row>
    <row r="38" spans="2:31" ht="15.75" thickBot="1" x14ac:dyDescent="0.3">
      <c r="B38" s="41"/>
      <c r="C38" s="14"/>
      <c r="D38" s="36"/>
      <c r="E38" s="14"/>
      <c r="F38" s="14"/>
      <c r="G38" s="14"/>
      <c r="H38" s="14"/>
      <c r="I38" s="14"/>
      <c r="J38" s="14"/>
      <c r="K38" s="14"/>
      <c r="L38" s="14"/>
      <c r="M38" s="14"/>
      <c r="N38" s="14"/>
      <c r="O38" s="14"/>
      <c r="P38" s="14"/>
      <c r="Q38" s="14"/>
      <c r="R38" s="14"/>
      <c r="S38" s="14"/>
      <c r="T38" s="14"/>
      <c r="U38" s="14"/>
      <c r="V38" s="14"/>
      <c r="W38" s="28"/>
      <c r="X38" s="29"/>
      <c r="Y38" s="29"/>
      <c r="Z38" s="30" t="s">
        <v>39</v>
      </c>
      <c r="AA38" s="30"/>
      <c r="AB38" s="13">
        <f>(1-I40)*AB37</f>
        <v>9.5</v>
      </c>
      <c r="AC38" s="14"/>
      <c r="AD38" s="14"/>
      <c r="AE38" s="42"/>
    </row>
    <row r="39" spans="2:31" ht="95.25" thickBot="1" x14ac:dyDescent="0.3">
      <c r="B39" s="41"/>
      <c r="C39" s="87" t="s">
        <v>28</v>
      </c>
      <c r="D39" s="47" t="s">
        <v>29</v>
      </c>
      <c r="E39" s="47" t="s">
        <v>30</v>
      </c>
      <c r="F39" s="47" t="s">
        <v>31</v>
      </c>
      <c r="G39" s="47" t="s">
        <v>32</v>
      </c>
      <c r="H39" s="47" t="s">
        <v>33</v>
      </c>
      <c r="I39" s="47" t="s">
        <v>40</v>
      </c>
      <c r="J39" s="47" t="s">
        <v>34</v>
      </c>
      <c r="K39" s="14"/>
      <c r="L39" s="14"/>
      <c r="M39" s="14"/>
      <c r="N39" s="14"/>
      <c r="O39" s="14"/>
      <c r="P39" s="14"/>
      <c r="Q39" s="14"/>
      <c r="R39" s="14"/>
      <c r="S39" s="14"/>
      <c r="T39" s="14"/>
      <c r="U39" s="14"/>
      <c r="V39" s="14"/>
      <c r="W39" s="14"/>
      <c r="X39" s="14"/>
      <c r="Y39" s="14"/>
      <c r="Z39" s="14"/>
      <c r="AA39" s="14"/>
      <c r="AB39" s="14"/>
      <c r="AC39" s="14"/>
      <c r="AD39" s="14"/>
      <c r="AE39" s="42"/>
    </row>
    <row r="40" spans="2:31" ht="24" customHeight="1" thickBot="1" x14ac:dyDescent="0.3">
      <c r="B40" s="41"/>
      <c r="C40" s="88"/>
      <c r="D40" s="61">
        <v>2018</v>
      </c>
      <c r="E40" s="62">
        <v>0.55000000000000004</v>
      </c>
      <c r="F40" s="62">
        <v>0.3</v>
      </c>
      <c r="G40" s="62">
        <v>0.2</v>
      </c>
      <c r="H40" s="62">
        <v>0.2</v>
      </c>
      <c r="I40" s="62">
        <v>0.05</v>
      </c>
      <c r="J40" s="48">
        <f>(AB23-AB22)/AB22</f>
        <v>-0.39905493207324272</v>
      </c>
      <c r="K40" s="14"/>
      <c r="L40" s="14"/>
      <c r="M40" s="14"/>
      <c r="N40" s="14"/>
      <c r="O40" s="14"/>
      <c r="P40" s="14"/>
      <c r="Q40" s="14"/>
      <c r="R40" s="14"/>
      <c r="S40" s="14"/>
      <c r="T40" s="14"/>
      <c r="U40" s="14"/>
      <c r="V40" s="14"/>
      <c r="W40" s="14"/>
      <c r="X40" s="14"/>
      <c r="Y40" s="14"/>
      <c r="Z40" s="14"/>
      <c r="AA40" s="14"/>
      <c r="AB40" s="14"/>
      <c r="AC40" s="14"/>
      <c r="AD40" s="14"/>
      <c r="AE40" s="42"/>
    </row>
    <row r="41" spans="2:31" ht="14.45" customHeight="1" x14ac:dyDescent="0.25">
      <c r="B41" s="41"/>
      <c r="C41" s="109" t="s">
        <v>35</v>
      </c>
      <c r="D41" s="110"/>
      <c r="E41" s="110"/>
      <c r="F41" s="110"/>
      <c r="G41" s="110"/>
      <c r="H41" s="110"/>
      <c r="I41" s="110"/>
      <c r="J41" s="111"/>
      <c r="K41" s="14"/>
      <c r="L41" s="14"/>
      <c r="M41" s="14"/>
      <c r="N41" s="14"/>
      <c r="O41" s="14"/>
      <c r="P41" s="14"/>
      <c r="Q41" s="14"/>
      <c r="R41" s="14"/>
      <c r="S41" s="14"/>
      <c r="T41" s="14"/>
      <c r="U41" s="14"/>
      <c r="V41" s="14"/>
      <c r="W41" s="14"/>
      <c r="X41" s="14"/>
      <c r="Y41" s="14"/>
      <c r="Z41" s="14"/>
      <c r="AA41" s="14"/>
      <c r="AB41" s="14"/>
      <c r="AC41" s="14"/>
      <c r="AD41" s="14"/>
      <c r="AE41" s="42"/>
    </row>
    <row r="42" spans="2:31" ht="14.45" customHeight="1" x14ac:dyDescent="0.25">
      <c r="B42" s="41"/>
      <c r="C42" s="112"/>
      <c r="D42" s="113"/>
      <c r="E42" s="113"/>
      <c r="F42" s="113"/>
      <c r="G42" s="113"/>
      <c r="H42" s="113"/>
      <c r="I42" s="113"/>
      <c r="J42" s="114"/>
      <c r="K42" s="14"/>
      <c r="L42" s="14"/>
      <c r="M42" s="14"/>
      <c r="N42" s="14"/>
      <c r="O42" s="14"/>
      <c r="P42" s="14"/>
      <c r="Q42" s="14"/>
      <c r="R42" s="14"/>
      <c r="S42" s="14"/>
      <c r="T42" s="14"/>
      <c r="U42" s="14"/>
      <c r="V42" s="14"/>
      <c r="W42" s="14"/>
      <c r="X42" s="14"/>
      <c r="Y42" s="14"/>
      <c r="Z42" s="14"/>
      <c r="AA42" s="14"/>
      <c r="AB42" s="14"/>
      <c r="AC42" s="14"/>
      <c r="AD42" s="14"/>
      <c r="AE42" s="42"/>
    </row>
    <row r="43" spans="2:31" ht="14.45" customHeight="1" x14ac:dyDescent="0.25">
      <c r="B43" s="41"/>
      <c r="C43" s="112"/>
      <c r="D43" s="113"/>
      <c r="E43" s="113"/>
      <c r="F43" s="113"/>
      <c r="G43" s="113"/>
      <c r="H43" s="113"/>
      <c r="I43" s="113"/>
      <c r="J43" s="114"/>
      <c r="K43" s="14"/>
      <c r="L43" s="14"/>
      <c r="M43" s="14"/>
      <c r="N43" s="14"/>
      <c r="O43" s="14"/>
      <c r="P43" s="14"/>
      <c r="Q43" s="14"/>
      <c r="R43" s="14"/>
      <c r="S43" s="14"/>
      <c r="T43" s="14"/>
      <c r="U43" s="14"/>
      <c r="V43" s="14"/>
      <c r="W43" s="14"/>
      <c r="X43" s="14"/>
      <c r="Y43" s="14"/>
      <c r="Z43" s="14"/>
      <c r="AA43" s="14"/>
      <c r="AB43" s="14"/>
      <c r="AC43" s="14"/>
      <c r="AD43" s="14"/>
      <c r="AE43" s="42"/>
    </row>
    <row r="44" spans="2:31" ht="14.45" customHeight="1" x14ac:dyDescent="0.25">
      <c r="B44" s="41"/>
      <c r="C44" s="112"/>
      <c r="D44" s="113"/>
      <c r="E44" s="113"/>
      <c r="F44" s="113"/>
      <c r="G44" s="113"/>
      <c r="H44" s="113"/>
      <c r="I44" s="113"/>
      <c r="J44" s="114"/>
      <c r="K44" s="14"/>
      <c r="L44" s="14"/>
      <c r="M44" s="14"/>
      <c r="N44" s="14"/>
      <c r="O44" s="14"/>
      <c r="P44" s="14"/>
      <c r="Q44" s="14"/>
      <c r="R44" s="14"/>
      <c r="S44" s="14"/>
      <c r="T44" s="14"/>
      <c r="U44" s="14"/>
      <c r="V44" s="14"/>
      <c r="W44" s="14"/>
      <c r="X44" s="14"/>
      <c r="Y44" s="14"/>
      <c r="Z44" s="14"/>
      <c r="AA44" s="14"/>
      <c r="AB44" s="14"/>
      <c r="AC44" s="14"/>
      <c r="AD44" s="14"/>
      <c r="AE44" s="42"/>
    </row>
    <row r="45" spans="2:31" ht="14.45" customHeight="1" x14ac:dyDescent="0.25">
      <c r="B45" s="41"/>
      <c r="C45" s="115"/>
      <c r="D45" s="116"/>
      <c r="E45" s="116"/>
      <c r="F45" s="116"/>
      <c r="G45" s="116"/>
      <c r="H45" s="116"/>
      <c r="I45" s="116"/>
      <c r="J45" s="117"/>
      <c r="K45" s="14"/>
      <c r="L45" s="14"/>
      <c r="M45" s="14"/>
      <c r="N45" s="14"/>
      <c r="O45" s="14"/>
      <c r="P45" s="14"/>
      <c r="Q45" s="14"/>
      <c r="R45" s="14"/>
      <c r="S45" s="14"/>
      <c r="T45" s="14"/>
      <c r="U45" s="14"/>
      <c r="V45" s="14"/>
      <c r="W45" s="14"/>
      <c r="X45" s="14"/>
      <c r="Y45" s="14"/>
      <c r="Z45" s="14"/>
      <c r="AA45" s="14"/>
      <c r="AB45" s="14"/>
      <c r="AC45" s="14"/>
      <c r="AD45" s="14"/>
      <c r="AE45" s="42"/>
    </row>
    <row r="46" spans="2:31" ht="14.45" customHeight="1" x14ac:dyDescent="0.25">
      <c r="B46" s="41"/>
      <c r="C46" s="115"/>
      <c r="D46" s="116"/>
      <c r="E46" s="116"/>
      <c r="F46" s="116"/>
      <c r="G46" s="116"/>
      <c r="H46" s="116"/>
      <c r="I46" s="116"/>
      <c r="J46" s="117"/>
      <c r="K46" s="14"/>
      <c r="L46" s="14"/>
      <c r="M46" s="14"/>
      <c r="N46" s="14"/>
      <c r="O46" s="14"/>
      <c r="P46" s="14"/>
      <c r="Q46" s="14"/>
      <c r="R46" s="14"/>
      <c r="S46" s="14"/>
      <c r="T46" s="14"/>
      <c r="U46" s="14"/>
      <c r="V46" s="14"/>
      <c r="W46" s="14"/>
      <c r="X46" s="14"/>
      <c r="Y46" s="14"/>
      <c r="Z46" s="14"/>
      <c r="AA46" s="14"/>
      <c r="AB46" s="14"/>
      <c r="AC46" s="14"/>
      <c r="AD46" s="14"/>
      <c r="AE46" s="42"/>
    </row>
    <row r="47" spans="2:31" ht="15.75" thickBot="1" x14ac:dyDescent="0.3">
      <c r="B47" s="41"/>
      <c r="C47" s="118"/>
      <c r="D47" s="119"/>
      <c r="E47" s="119"/>
      <c r="F47" s="119"/>
      <c r="G47" s="119"/>
      <c r="H47" s="119"/>
      <c r="I47" s="119"/>
      <c r="J47" s="120"/>
      <c r="K47" s="14"/>
      <c r="L47" s="14"/>
      <c r="M47" s="14"/>
      <c r="N47" s="14"/>
      <c r="O47" s="14"/>
      <c r="P47" s="14"/>
      <c r="Q47" s="14"/>
      <c r="R47" s="14"/>
      <c r="S47" s="14"/>
      <c r="T47" s="14"/>
      <c r="U47" s="14"/>
      <c r="V47" s="14"/>
      <c r="W47" s="14"/>
      <c r="X47" s="14"/>
      <c r="Y47" s="14"/>
      <c r="Z47" s="14"/>
      <c r="AA47" s="14"/>
      <c r="AB47" s="14"/>
      <c r="AC47" s="14"/>
      <c r="AD47" s="14"/>
      <c r="AE47" s="42"/>
    </row>
    <row r="48" spans="2:31" x14ac:dyDescent="0.25">
      <c r="B48" s="41"/>
      <c r="C48" s="14"/>
      <c r="D48" s="36"/>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42"/>
    </row>
    <row r="49" spans="2:31" x14ac:dyDescent="0.25">
      <c r="B49" s="41"/>
      <c r="C49" s="14"/>
      <c r="D49" s="36"/>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42"/>
    </row>
    <row r="50" spans="2:31" x14ac:dyDescent="0.25">
      <c r="B50" s="41"/>
      <c r="C50" s="14"/>
      <c r="D50" s="36"/>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42"/>
    </row>
    <row r="51" spans="2:31" x14ac:dyDescent="0.25">
      <c r="B51" s="41"/>
      <c r="C51" s="14"/>
      <c r="D51" s="36"/>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42"/>
    </row>
    <row r="52" spans="2:31" x14ac:dyDescent="0.25">
      <c r="B52" s="41"/>
      <c r="C52" s="14"/>
      <c r="D52" s="36"/>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42"/>
    </row>
    <row r="53" spans="2:31" x14ac:dyDescent="0.25">
      <c r="B53" s="41"/>
      <c r="C53" s="14"/>
      <c r="D53" s="3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42"/>
    </row>
    <row r="54" spans="2:31" x14ac:dyDescent="0.25">
      <c r="B54" s="41"/>
      <c r="C54" s="14"/>
      <c r="D54" s="3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42"/>
    </row>
    <row r="55" spans="2:31" ht="15.75" thickBot="1" x14ac:dyDescent="0.3">
      <c r="B55" s="41"/>
      <c r="C55" s="14"/>
      <c r="D55" s="36"/>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42"/>
    </row>
    <row r="56" spans="2:31" x14ac:dyDescent="0.25">
      <c r="B56" s="41"/>
      <c r="C56" s="14"/>
      <c r="D56" s="36"/>
      <c r="E56" s="14"/>
      <c r="F56" s="14"/>
      <c r="G56" s="14"/>
      <c r="H56" s="14"/>
      <c r="I56" s="14"/>
      <c r="J56" s="14"/>
      <c r="K56" s="14"/>
      <c r="L56" s="14"/>
      <c r="M56" s="14"/>
      <c r="N56" s="64" t="s">
        <v>42</v>
      </c>
      <c r="O56" s="65"/>
      <c r="P56" s="66"/>
      <c r="Q56" s="66"/>
      <c r="R56" s="66"/>
      <c r="S56" s="66"/>
      <c r="T56" s="66"/>
      <c r="U56" s="66"/>
      <c r="V56" s="67"/>
      <c r="W56" s="14"/>
      <c r="X56" s="14"/>
      <c r="Y56" s="14"/>
      <c r="Z56" s="14"/>
      <c r="AA56" s="14"/>
      <c r="AB56" s="14"/>
      <c r="AC56" s="14"/>
      <c r="AD56" s="14"/>
      <c r="AE56" s="42"/>
    </row>
    <row r="57" spans="2:31" x14ac:dyDescent="0.25">
      <c r="B57" s="41"/>
      <c r="C57" s="14"/>
      <c r="D57" s="36"/>
      <c r="E57" s="14"/>
      <c r="F57" s="14"/>
      <c r="G57" s="14"/>
      <c r="H57" s="14"/>
      <c r="I57" s="14"/>
      <c r="J57" s="14"/>
      <c r="K57" s="14"/>
      <c r="L57" s="14"/>
      <c r="M57" s="14"/>
      <c r="N57" s="68"/>
      <c r="O57" s="69"/>
      <c r="P57" s="69"/>
      <c r="Q57" s="69"/>
      <c r="R57" s="69"/>
      <c r="S57" s="69"/>
      <c r="T57" s="69"/>
      <c r="U57" s="69"/>
      <c r="V57" s="70"/>
      <c r="W57" s="14"/>
      <c r="X57" s="14"/>
      <c r="Y57" s="14"/>
      <c r="Z57" s="14"/>
      <c r="AA57" s="14"/>
      <c r="AB57" s="14"/>
      <c r="AC57" s="14"/>
      <c r="AD57" s="14"/>
      <c r="AE57" s="42"/>
    </row>
    <row r="58" spans="2:31" x14ac:dyDescent="0.25">
      <c r="B58" s="41"/>
      <c r="C58" s="14"/>
      <c r="D58" s="36"/>
      <c r="E58" s="14"/>
      <c r="F58" s="14"/>
      <c r="G58" s="14"/>
      <c r="H58" s="14"/>
      <c r="I58" s="14"/>
      <c r="J58" s="14"/>
      <c r="K58" s="14"/>
      <c r="L58" s="14"/>
      <c r="M58" s="14"/>
      <c r="N58" s="68"/>
      <c r="O58" s="69"/>
      <c r="P58" s="69"/>
      <c r="Q58" s="69"/>
      <c r="R58" s="69"/>
      <c r="S58" s="69"/>
      <c r="T58" s="69"/>
      <c r="U58" s="69"/>
      <c r="V58" s="70"/>
      <c r="W58" s="14"/>
      <c r="X58" s="14"/>
      <c r="Y58" s="14"/>
      <c r="Z58" s="14"/>
      <c r="AA58" s="14"/>
      <c r="AB58" s="14"/>
      <c r="AC58" s="14"/>
      <c r="AD58" s="14"/>
      <c r="AE58" s="42"/>
    </row>
    <row r="59" spans="2:31" ht="15.75" thickBot="1" x14ac:dyDescent="0.3">
      <c r="B59" s="41"/>
      <c r="C59" s="14"/>
      <c r="D59" s="36"/>
      <c r="E59" s="14"/>
      <c r="F59" s="14"/>
      <c r="G59" s="14"/>
      <c r="H59" s="14"/>
      <c r="I59" s="14"/>
      <c r="J59" s="14"/>
      <c r="K59" s="14"/>
      <c r="L59" s="14"/>
      <c r="M59" s="14"/>
      <c r="N59" s="71"/>
      <c r="O59" s="72"/>
      <c r="P59" s="72"/>
      <c r="Q59" s="72"/>
      <c r="R59" s="72"/>
      <c r="S59" s="72"/>
      <c r="T59" s="72"/>
      <c r="U59" s="72"/>
      <c r="V59" s="73"/>
      <c r="W59" s="14"/>
      <c r="X59" s="14"/>
      <c r="Y59" s="14"/>
      <c r="Z59" s="14"/>
      <c r="AA59" s="14"/>
      <c r="AB59" s="14"/>
      <c r="AC59" s="14"/>
      <c r="AD59" s="14"/>
      <c r="AE59" s="42"/>
    </row>
    <row r="60" spans="2:31" x14ac:dyDescent="0.25">
      <c r="B60" s="41"/>
      <c r="C60" s="14"/>
      <c r="D60" s="36"/>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42"/>
    </row>
    <row r="61" spans="2:31" x14ac:dyDescent="0.25">
      <c r="B61" s="41"/>
      <c r="C61" s="14"/>
      <c r="D61" s="36"/>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42"/>
    </row>
    <row r="62" spans="2:31" x14ac:dyDescent="0.25">
      <c r="B62" s="41"/>
      <c r="C62" s="14"/>
      <c r="D62" s="36"/>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42"/>
    </row>
    <row r="63" spans="2:31" x14ac:dyDescent="0.25">
      <c r="B63" s="41"/>
      <c r="C63" s="14"/>
      <c r="D63" s="36"/>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42"/>
    </row>
    <row r="64" spans="2:31" x14ac:dyDescent="0.25">
      <c r="B64" s="41"/>
      <c r="C64" s="14"/>
      <c r="D64" s="36"/>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42"/>
    </row>
    <row r="65" spans="2:31" x14ac:dyDescent="0.25">
      <c r="B65" s="41"/>
      <c r="C65" s="14"/>
      <c r="D65" s="36"/>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42"/>
    </row>
    <row r="66" spans="2:31" x14ac:dyDescent="0.25">
      <c r="B66" s="41"/>
      <c r="C66" s="14"/>
      <c r="D66" s="36"/>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42"/>
    </row>
    <row r="67" spans="2:31" x14ac:dyDescent="0.25">
      <c r="B67" s="41"/>
      <c r="C67" s="14"/>
      <c r="D67" s="3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42"/>
    </row>
    <row r="68" spans="2:31" x14ac:dyDescent="0.25">
      <c r="B68" s="41"/>
      <c r="C68" s="14"/>
      <c r="D68" s="36"/>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42"/>
    </row>
    <row r="69" spans="2:31" x14ac:dyDescent="0.25">
      <c r="B69" s="41"/>
      <c r="C69" s="14"/>
      <c r="D69" s="36"/>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42"/>
    </row>
    <row r="70" spans="2:31" x14ac:dyDescent="0.25">
      <c r="B70" s="41"/>
      <c r="C70" s="14"/>
      <c r="D70" s="36"/>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42"/>
    </row>
    <row r="71" spans="2:31" x14ac:dyDescent="0.25">
      <c r="B71" s="41"/>
      <c r="C71" s="14"/>
      <c r="D71" s="36"/>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42"/>
    </row>
    <row r="72" spans="2:31" x14ac:dyDescent="0.25">
      <c r="B72" s="41"/>
      <c r="C72" s="14"/>
      <c r="D72" s="36"/>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42"/>
    </row>
    <row r="73" spans="2:31" x14ac:dyDescent="0.25">
      <c r="B73" s="41"/>
      <c r="C73" s="14"/>
      <c r="D73" s="36"/>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42"/>
    </row>
    <row r="74" spans="2:31" ht="15.75" thickBot="1" x14ac:dyDescent="0.3">
      <c r="B74" s="43"/>
      <c r="C74" s="44"/>
      <c r="D74" s="45"/>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6"/>
    </row>
    <row r="79" spans="2:31" x14ac:dyDescent="0.25">
      <c r="Z79" s="7"/>
      <c r="AA79" s="7"/>
      <c r="AB79" s="7"/>
      <c r="AC79" s="7"/>
      <c r="AD79" s="7"/>
    </row>
    <row r="80" spans="2:31" x14ac:dyDescent="0.25">
      <c r="Z80" s="7"/>
      <c r="AA80" s="7"/>
      <c r="AB80" s="7"/>
      <c r="AC80" s="7"/>
      <c r="AD80" s="7"/>
    </row>
    <row r="81" spans="26:30" x14ac:dyDescent="0.25">
      <c r="Z81" s="7"/>
      <c r="AA81" s="7"/>
      <c r="AB81" s="7"/>
      <c r="AC81" s="7"/>
      <c r="AD81" s="7"/>
    </row>
    <row r="82" spans="26:30" x14ac:dyDescent="0.25">
      <c r="Z82" s="7"/>
      <c r="AA82" s="7"/>
      <c r="AB82" s="7"/>
      <c r="AC82" s="7"/>
      <c r="AD82" s="7"/>
    </row>
    <row r="83" spans="26:30" x14ac:dyDescent="0.25">
      <c r="Z83" s="7"/>
      <c r="AA83" s="7"/>
      <c r="AB83" s="7"/>
    </row>
  </sheetData>
  <sheetProtection selectLockedCells="1" selectUnlockedCells="1"/>
  <mergeCells count="7">
    <mergeCell ref="D3:N3"/>
    <mergeCell ref="W6:AB10"/>
    <mergeCell ref="C5:C21"/>
    <mergeCell ref="N56:V59"/>
    <mergeCell ref="C41:J47"/>
    <mergeCell ref="C22:P25"/>
    <mergeCell ref="C39:C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o D A A B Q S w M E F A A C A A g A E H M 2 U W V m Q m W o A A A A + A A A A B I A H A B D b 2 5 m a W c v U G F j a 2 F n Z S 5 4 b W w g o h g A K K A U A A A A A A A A A A A A A A A A A A A A A A A A A A A A h Y 9 N D o I w G E S v Q r q n L e A P k o + y c C u J C d G 4 b W q F R i i G F s v d X H g k r y C J o u 5 c z u R N 8 u Z x u 0 M 2 N L V 3 l Z 1 R r U 5 R g C n y p B b t U e k y R b 0 9 + T H K G G y 5 O P N S e i O s T T I Y l a L K 2 k t C i H M O u w i 3 X U l C S g N y y D e F q G T D f a W N 5 V p I 9 F k d / 6 8 Q g / 1 L h o U 4 j v A 8 X s 3 w c h E A m W r I l f 4 i 4 W i M K Z C f E t Z 9 b f t O M q n 9 X Q F k i k D e L 9 g T U E s D B B Q A A g A I A B B z N 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c z Z R b F W G d a A A A A D X A A A A E w A c A E Z v c m 1 1 b G F z L 1 N l Y 3 R p b 2 4 x L m 0 g o h g A K K A U A A A A A A A A A A A A A A A A A A A A A A A A A A A A b Y 0 9 C 4 M w E I Z 3 I f 8 h p I u C C E L p I k 6 h Q 5 c u C h 3 E I d p r F e N d S S K 0 i P + 9 s V n 7 L g f v x 3 M W e j c S 8 i r c v G A R i + y g D N x 5 r T o N O S + 5 B s c i 7 l X R Y n r w z v n d g 8 7 k Y g y g u 5 G Z O q I p T t b m q m Y o R V i K d m s k o f O V N g 2 A g 5 C D w u c O / 7 x A e N K v m t V G o X 2 Q m S X p Z c Y 9 t H H 4 l q 6 r C G 4 u U n 5 B d z p m e 7 5 t C Y t G / M s t v l B L A Q I t A B Q A A g A I A B B z N l F l Z k J l q A A A A P g A A A A S A A A A A A A A A A A A A A A A A A A A A A B D b 2 5 m a W c v U G F j a 2 F n Z S 5 4 b W x Q S w E C L Q A U A A I A C A A Q c z Z R D 8 r p q 6 Q A A A D p A A A A E w A A A A A A A A A A A A A A A A D 0 A A A A W 0 N v b n R l b n R f V H l w Z X N d L n h t b F B L A Q I t A B Q A A g A I A B B z N l F s V Y Z 1 o A A A A N c A A A A T A A A A A A A A A A A A A A A A A O U B A A B G b 3 J t d W x h c y 9 T Z W N 0 a W 9 u M S 5 t U E s F B g A A A A A D A A M A w g A A A N 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r U H A A A A A A A A k w 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M C 0 w O S 0 y M l Q x N D o y M T o 1 O S 4 0 M D E 1 N z Y 3 W i I g L z 4 8 R W 5 0 c n k g V H l w Z T 0 i R m l s b E N v b H V t b l R 5 c G V z I i B W Y W x 1 Z T 0 i c 0 F 3 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D a G F u Z 2 V k I F R 5 c G U u e 0 N v b H V t b j E s M H 0 m c X V v d D t d L C Z x d W 9 0 O 0 N v b H V t b k N v d W 5 0 J n F 1 b 3 Q 7 O j E s J n F 1 b 3 Q 7 S 2 V 5 Q 2 9 s d W 1 u T m F t Z X M m c X V v d D s 6 W 1 0 s J n F 1 b 3 Q 7 Q 2 9 s d W 1 u S W R l b n R p d G l l c y Z x d W 9 0 O z p b J n F 1 b 3 Q 7 U 2 V j d G l v b j E v V G F i b G U x L 0 N o Y W 5 n Z W Q g V H l w Z 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C 9 J d G V t c z 4 8 L 0 x v Y 2 F s U G F j a 2 F n Z U 1 l d G F k Y X R h R m l s Z T 4 W A A A A U E s F B g A A A A A A A A A A A A A A A A A A A A A A A N o A A A A B A A A A 0 I y d 3 w E V 0 R G M e g D A T 8 K X 6 w E A A A D d q E Q F O 8 5 4 S Y 7 A C 3 j V b c A M A A A A A A I A A A A A A A N m A A D A A A A A E A A A A K I J K D b b 8 z w u b T M e R m 3 F 6 W w A A A A A B I A A A K A A A A A Q A A A A + I P f 7 N A Z s R d n 9 o 2 3 k C b 0 d V A A A A C J o a t p o k 7 W o T h f G 8 K i E M B / E 1 H e Q 8 L 1 I W + Z X 4 4 M c I b 4 F g A u v u 3 Q T X i 6 Y t o m v f J O 2 r X 7 k u f + 2 C C K 0 K q 0 u g s e K S c r H u j a c Q x W a t p M a Z t 8 v Y g P r R Q A A A A T P C h V y R 2 N g o 9 x g F Y l n K L K N R o f 5 w = = < / 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8dab705-57d9-4367-b85d-5f33e8dcf9dd" xsi:nil="true"/>
    <lcf76f155ced4ddcb4097134ff3c332f xmlns="051ba63c-ecf3-44e3-aa9c-527067a7c8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B0F84A644E80644AD5651088C2F56B1" ma:contentTypeVersion="11" ma:contentTypeDescription="Create a new document." ma:contentTypeScope="" ma:versionID="ba0a48994c821cfc18c1ecbb87c6f62d">
  <xsd:schema xmlns:xsd="http://www.w3.org/2001/XMLSchema" xmlns:xs="http://www.w3.org/2001/XMLSchema" xmlns:p="http://schemas.microsoft.com/office/2006/metadata/properties" xmlns:ns2="051ba63c-ecf3-44e3-aa9c-527067a7c81e" xmlns:ns3="e8dab705-57d9-4367-b85d-5f33e8dcf9dd" targetNamespace="http://schemas.microsoft.com/office/2006/metadata/properties" ma:root="true" ma:fieldsID="60bf87583999e4aef286b9dc012aaea1" ns2:_="" ns3:_="">
    <xsd:import namespace="051ba63c-ecf3-44e3-aa9c-527067a7c81e"/>
    <xsd:import namespace="e8dab705-57d9-4367-b85d-5f33e8dcf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ba63c-ecf3-44e3-aa9c-527067a7c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5dec690-262e-4e23-afc4-9522bd1c4b6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dab705-57d9-4367-b85d-5f33e8dcf9d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549717-c4cc-418b-acc9-1a0597c47a76}" ma:internalName="TaxCatchAll" ma:showField="CatchAllData" ma:web="e8dab705-57d9-4367-b85d-5f33e8dcf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1D0C14-7BEB-45BA-AF79-313D8DD52BC6}">
  <ds:schemaRefs>
    <ds:schemaRef ds:uri="http://schemas.microsoft.com/DataMashup"/>
  </ds:schemaRefs>
</ds:datastoreItem>
</file>

<file path=customXml/itemProps2.xml><?xml version="1.0" encoding="utf-8"?>
<ds:datastoreItem xmlns:ds="http://schemas.openxmlformats.org/officeDocument/2006/customXml" ds:itemID="{9237038E-8ACA-4DA3-9A57-1A93B3D1C889}">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1510b195-def2-4e15-86e8-a8c320f8cd4d"/>
    <ds:schemaRef ds:uri="c2fa8dc1-7db4-4e98-bd3f-01ae43eb89b8"/>
    <ds:schemaRef ds:uri="http://schemas.microsoft.com/office/2006/documentManagement/types"/>
    <ds:schemaRef ds:uri="http://schemas.microsoft.com/office/infopath/2007/PartnerControls"/>
    <ds:schemaRef ds:uri="http://www.w3.org/XML/1998/namespace"/>
    <ds:schemaRef ds:uri="79d748f2-4a39-4d23-8ef1-67e9c82c45e3"/>
    <ds:schemaRef ds:uri="3016e744-44d3-47c5-b09a-bdfbc0a59987"/>
    <ds:schemaRef ds:uri="e8dab705-57d9-4367-b85d-5f33e8dcf9dd"/>
    <ds:schemaRef ds:uri="051ba63c-ecf3-44e3-aa9c-527067a7c81e"/>
  </ds:schemaRefs>
</ds:datastoreItem>
</file>

<file path=customXml/itemProps3.xml><?xml version="1.0" encoding="utf-8"?>
<ds:datastoreItem xmlns:ds="http://schemas.openxmlformats.org/officeDocument/2006/customXml" ds:itemID="{F9D4751B-C07B-4798-9745-75C6783EFE0A}">
  <ds:schemaRefs>
    <ds:schemaRef ds:uri="http://schemas.microsoft.com/sharepoint/v3/contenttype/forms"/>
  </ds:schemaRefs>
</ds:datastoreItem>
</file>

<file path=customXml/itemProps4.xml><?xml version="1.0" encoding="utf-8"?>
<ds:datastoreItem xmlns:ds="http://schemas.openxmlformats.org/officeDocument/2006/customXml" ds:itemID="{0DDD329C-4984-4187-8DC5-29479D9BD6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Markmiðareiknir (uppfært)</vt:lpstr>
      <vt:lpstr>Eldri útgáfa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Ísak Sigurjón Bragason</dc:creator>
  <cp:keywords/>
  <dc:description/>
  <cp:lastModifiedBy>Finnur Ricart Andrason</cp:lastModifiedBy>
  <cp:revision/>
  <dcterms:created xsi:type="dcterms:W3CDTF">2020-03-12T10:55:57Z</dcterms:created>
  <dcterms:modified xsi:type="dcterms:W3CDTF">2026-04-08T16:03:16Z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0x0101000B0F84A644E80644AD5651088C2F56B1</vt:lpwstr>
  </property>
  <property fmtid="{D5CDD505-2E9C-101B-9397-08002B2CF9AE}" pid="3" name="MediaServiceImageTags">
    <vt:lpwstr/>
  </property>
</Properties>
</file>